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  <sheet name="Sheet1" sheetId="8" r:id="rId8"/>
    <sheet name="Sheet2" sheetId="9" r:id="rId9"/>
  </sheets>
  <definedNames>
    <definedName name="_xlnm.Print_Area" localSheetId="0">'Part-I'!$A$1:$U$33</definedName>
    <definedName name="_xlnm.Print_Area" localSheetId="1">'Part-II'!$A$1:$Z$33</definedName>
    <definedName name="_xlnm.Print_Area" localSheetId="3">'Part-IV'!$A$1:$L$30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<sst xmlns="http://schemas.openxmlformats.org/spreadsheetml/2006/main" count="432" uniqueCount="157">
  <si>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</si>
  <si>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</si>
  <si>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</si>
  <si>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</si>
  <si>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</si>
  <si>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</si>
  <si>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</si>
  <si>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</si>
  <si>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</si>
  <si>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</si>
  <si>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</si>
  <si>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</si>
  <si>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</si>
  <si>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</si>
  <si>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</si>
  <si>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</si>
  <si>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</si>
  <si>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</si>
  <si>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</si>
  <si>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</si>
  <si>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</si>
  <si>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</si>
  <si>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</si>
  <si>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</si>
  <si>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</si>
  <si>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</si>
  <si>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</si>
  <si>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</si>
  <si>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</si>
  <si>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</si>
  <si>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</si>
  <si>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</si>
  <si>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</si>
  <si>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</si>
  <si>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</si>
  <si>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</si>
  <si>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</si>
  <si>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</si>
  <si>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</si>
  <si>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</si>
  <si>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</si>
  <si>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</si>
  <si>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</si>
  <si>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</si>
  <si>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</si>
  <si>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</si>
  <si>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</si>
  <si>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</si>
  <si>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</si>
  <si>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</si>
  <si>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</si>
  <si>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</si>
  <si>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</si>
  <si>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</si>
  <si>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</si>
  <si>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</si>
  <si>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</si>
  <si>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</si>
  <si>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</si>
  <si>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</si>
  <si>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</si>
  <si>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</si>
  <si>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</si>
  <si>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</si>
  <si>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</si>
  <si>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</si>
  <si>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</si>
  <si>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</si>
  <si>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</si>
  <si>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</si>
  <si>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</si>
  <si>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</si>
  <si>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</si>
  <si>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</si>
  <si>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</si>
  <si>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</si>
  <si>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</si>
  <si>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</si>
  <si>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</si>
  <si>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</si>
  <si>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</si>
  <si>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</si>
  <si>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</si>
  <si>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</si>
  <si>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</si>
  <si>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</si>
  <si>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</si>
  <si>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</si>
  <si>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</si>
  <si>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</si>
  <si>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</si>
  <si>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</si>
  <si>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</si>
  <si>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</si>
  <si>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</si>
  <si>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</si>
  <si>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</si>
  <si>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</si>
  <si>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</si>
  <si>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</si>
  <si>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</si>
  <si>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</si>
  <si>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</si>
  <si>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</si>
  <si>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</si>
  <si>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</si>
  <si>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</si>
  <si>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</si>
  <si>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</si>
  <si>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</si>
  <si>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</si>
  <si>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</si>
  <si>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</si>
  <si>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</si>
  <si>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</si>
  <si>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</si>
  <si>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</si>
  <si>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</si>
  <si>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</si>
  <si>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</si>
  <si>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</si>
  <si>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</si>
  <si>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</si>
  <si>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</si>
  <si>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</si>
  <si>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</si>
  <si>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</si>
  <si>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</si>
  <si>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</si>
  <si>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</si>
  <si>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</si>
  <si>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</si>
  <si>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</si>
  <si>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</si>
  <si>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</si>
  <si>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</si>
  <si>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</si>
  <si>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</si>
  <si>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</si>
  <si>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</si>
  <si>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</si>
  <si>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</si>
  <si>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Actual O.B. as on 01.04.12</t>
  </si>
  <si>
    <t>report collected from sudip da muster roll verification and inspection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</si>
  <si>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</si>
  <si>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</si>
  <si>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</si>
  <si>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</si>
  <si>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</si>
  <si>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</si>
  <si>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Employment Generation Report for the month of  Jan 2013 (for the financial year 2012-13)</t>
  </si>
  <si>
    <t>Financial Performance Under NREGA During the year 2012-13 Up to the Month of Jan ' 2013</t>
  </si>
  <si>
    <t>Physical Performance Under NREGA During the year 2012-13 Up to the Month of Jan  2013</t>
  </si>
  <si>
    <t>Transparency Report Under NREGA During the year 2012-13 Up to the Month of Jan 2013</t>
  </si>
  <si>
    <t>FORMAT FOR MONTHLY PROGRESS REPORT - V-A (Capacity Building - Personnel Report for the Month of Jan  2013)</t>
  </si>
  <si>
    <t>FORMAT FOR MONTHLY PROGRESS REPORT - V-B (Capacity Building - Training Report for the Month of Jan 2013)</t>
  </si>
  <si>
    <t xml:space="preserve"> Jan 2013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</si>
</sst>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  <numFmt numFmtId="216" formatCode="0.0;[Red]0.0"/>
  </numFmts>
  <fonts count="1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sz val="14"/>
      <color indexed="8"/>
      <name val="CG Omega"/>
      <family val="0"/>
    </font>
    <font>
      <b/>
      <sz val="14"/>
      <color indexed="10"/>
      <name val="Lucida Bright"/>
      <family val="1"/>
    </font>
    <font>
      <b/>
      <sz val="14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sz val="14"/>
      <color theme="1"/>
      <name val="CG Omega"/>
      <family val="0"/>
    </font>
    <font>
      <b/>
      <sz val="14"/>
      <color rgb="FFFF0000"/>
      <name val="Lucida Bright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405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0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08" fontId="4" fillId="35" borderId="0" xfId="63" applyNumberFormat="1" applyFont="1" applyFill="1" applyBorder="1" applyAlignment="1">
      <alignment vertical="center" textRotation="90"/>
      <protection/>
    </xf>
    <xf numFmtId="204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08" fontId="9" fillId="0" borderId="0" xfId="63" applyNumberFormat="1" applyFont="1" applyAlignment="1">
      <alignment horizontal="center" vertical="center" textRotation="90"/>
      <protection/>
    </xf>
    <xf numFmtId="204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08" fontId="75" fillId="0" borderId="10" xfId="0" applyNumberFormat="1" applyFont="1" applyFill="1" applyBorder="1" applyAlignment="1">
      <alignment horizontal="center" vertical="center" wrapText="1"/>
    </xf>
    <xf numFmtId="208" fontId="84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84" fillId="0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2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0" fontId="99" fillId="0" borderId="0" xfId="0" applyFont="1" applyFill="1" applyAlignment="1">
      <alignment horizontal="center"/>
    </xf>
    <xf numFmtId="49" fontId="79" fillId="0" borderId="13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42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3" fillId="0" borderId="10" xfId="57" applyFont="1" applyFill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/>
    </xf>
    <xf numFmtId="208" fontId="101" fillId="0" borderId="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08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208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208" fontId="42" fillId="0" borderId="0" xfId="0" applyNumberFormat="1" applyFont="1" applyFill="1" applyBorder="1" applyAlignment="1">
      <alignment horizontal="center"/>
    </xf>
    <xf numFmtId="208" fontId="101" fillId="0" borderId="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208" fontId="104" fillId="0" borderId="10" xfId="0" applyNumberFormat="1" applyFont="1" applyFill="1" applyBorder="1" applyAlignment="1">
      <alignment horizontal="center" vertical="center"/>
    </xf>
    <xf numFmtId="208" fontId="10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05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2" fontId="84" fillId="0" borderId="15" xfId="0" applyNumberFormat="1" applyFont="1" applyFill="1" applyBorder="1" applyAlignment="1">
      <alignment horizontal="center" vertical="center" wrapText="1"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0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08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04" fontId="75" fillId="0" borderId="10" xfId="0" applyNumberFormat="1" applyFont="1" applyFill="1" applyBorder="1" applyAlignment="1">
      <alignment horizontal="center" vertical="center" wrapText="1"/>
    </xf>
    <xf numFmtId="208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08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08" fontId="75" fillId="0" borderId="13" xfId="0" applyNumberFormat="1" applyFont="1" applyFill="1" applyBorder="1" applyAlignment="1">
      <alignment horizontal="center" vertical="center" wrapText="1"/>
    </xf>
    <xf numFmtId="204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08" fontId="4" fillId="0" borderId="0" xfId="63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208" fontId="0" fillId="0" borderId="0" xfId="0" applyNumberFormat="1" applyFont="1" applyFill="1" applyAlignment="1">
      <alignment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69" fillId="0" borderId="0" xfId="57" applyFont="1" applyFill="1" applyAlignment="1">
      <alignment horizontal="center" vertical="center" wrapText="1"/>
      <protection/>
    </xf>
    <xf numFmtId="0" fontId="71" fillId="0" borderId="0" xfId="57" applyFont="1" applyFill="1" applyAlignment="1">
      <alignment horizontal="center" vertical="center" wrapText="1"/>
      <protection/>
    </xf>
    <xf numFmtId="206" fontId="6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63" fillId="0" borderId="0" xfId="57" applyFont="1" applyFill="1" applyAlignment="1">
      <alignment horizontal="center" vertical="center" wrapText="1"/>
      <protection/>
    </xf>
    <xf numFmtId="208" fontId="48" fillId="0" borderId="0" xfId="57" applyNumberFormat="1" applyFont="1" applyFill="1" applyAlignment="1">
      <alignment horizontal="center" vertical="center" wrapText="1"/>
      <protection/>
    </xf>
    <xf numFmtId="208" fontId="70" fillId="0" borderId="0" xfId="57" applyNumberFormat="1" applyFont="1" applyFill="1" applyAlignment="1">
      <alignment horizontal="center" vertical="center" wrapText="1"/>
      <protection/>
    </xf>
    <xf numFmtId="208" fontId="70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53" fillId="0" borderId="10" xfId="57" applyFont="1" applyFill="1" applyBorder="1" applyAlignment="1">
      <alignment horizontal="center" vertical="center" wrapText="1"/>
      <protection/>
    </xf>
    <xf numFmtId="208" fontId="72" fillId="0" borderId="10" xfId="57" applyNumberFormat="1" applyFont="1" applyFill="1" applyBorder="1" applyAlignment="1">
      <alignment horizontal="center" vertical="center" wrapText="1"/>
      <protection/>
    </xf>
    <xf numFmtId="180" fontId="153" fillId="0" borderId="0" xfId="57" applyNumberFormat="1" applyFont="1" applyFill="1" applyBorder="1" applyAlignment="1">
      <alignment horizontal="center" vertical="center" wrapText="1"/>
      <protection/>
    </xf>
    <xf numFmtId="204" fontId="153" fillId="0" borderId="10" xfId="57" applyNumberFormat="1" applyFont="1" applyFill="1" applyBorder="1" applyAlignment="1">
      <alignment horizontal="center" vertical="center" wrapText="1"/>
      <protection/>
    </xf>
    <xf numFmtId="208" fontId="153" fillId="0" borderId="16" xfId="57" applyNumberFormat="1" applyFont="1" applyFill="1" applyBorder="1" applyAlignment="1">
      <alignment horizontal="center" vertical="center" wrapText="1"/>
      <protection/>
    </xf>
    <xf numFmtId="208" fontId="153" fillId="0" borderId="15" xfId="57" applyNumberFormat="1" applyFont="1" applyFill="1" applyBorder="1" applyAlignment="1">
      <alignment horizontal="center" vertical="center" wrapText="1"/>
      <protection/>
    </xf>
    <xf numFmtId="0" fontId="153" fillId="0" borderId="17" xfId="57" applyFont="1" applyFill="1" applyBorder="1" applyAlignment="1">
      <alignment horizontal="center" vertical="center" wrapText="1"/>
      <protection/>
    </xf>
    <xf numFmtId="0" fontId="153" fillId="0" borderId="0" xfId="57" applyFont="1" applyFill="1" applyBorder="1" applyAlignment="1">
      <alignment horizontal="center" vertical="center" wrapText="1"/>
      <protection/>
    </xf>
    <xf numFmtId="208" fontId="153" fillId="0" borderId="0" xfId="57" applyNumberFormat="1" applyFont="1" applyFill="1" applyBorder="1" applyAlignment="1">
      <alignment horizontal="center" vertical="center" wrapText="1"/>
      <protection/>
    </xf>
    <xf numFmtId="0" fontId="153" fillId="0" borderId="14" xfId="57" applyFont="1" applyFill="1" applyBorder="1" applyAlignment="1">
      <alignment horizontal="center" vertical="center" wrapText="1"/>
      <protection/>
    </xf>
    <xf numFmtId="0" fontId="72" fillId="0" borderId="0" xfId="57" applyFont="1" applyFill="1" applyBorder="1" applyAlignment="1">
      <alignment horizontal="center" vertical="center" wrapText="1"/>
      <protection/>
    </xf>
    <xf numFmtId="180" fontId="72" fillId="0" borderId="0" xfId="57" applyNumberFormat="1" applyFont="1" applyFill="1" applyBorder="1" applyAlignment="1">
      <alignment horizontal="center" vertical="center" wrapText="1"/>
      <protection/>
    </xf>
    <xf numFmtId="204" fontId="72" fillId="0" borderId="10" xfId="57" applyNumberFormat="1" applyFont="1" applyFill="1" applyBorder="1" applyAlignment="1">
      <alignment horizontal="center" vertical="center" wrapText="1"/>
      <protection/>
    </xf>
    <xf numFmtId="208" fontId="72" fillId="0" borderId="16" xfId="57" applyNumberFormat="1" applyFont="1" applyFill="1" applyBorder="1" applyAlignment="1">
      <alignment horizontal="center" vertical="center" wrapText="1"/>
      <protection/>
    </xf>
    <xf numFmtId="208" fontId="72" fillId="0" borderId="15" xfId="57" applyNumberFormat="1" applyFont="1" applyFill="1" applyBorder="1" applyAlignment="1">
      <alignment horizontal="center" vertical="center" wrapText="1"/>
      <protection/>
    </xf>
    <xf numFmtId="0" fontId="72" fillId="0" borderId="17" xfId="57" applyFont="1" applyFill="1" applyBorder="1" applyAlignment="1">
      <alignment horizontal="center" vertical="center" wrapText="1"/>
      <protection/>
    </xf>
    <xf numFmtId="0" fontId="154" fillId="0" borderId="0" xfId="57" applyFont="1" applyFill="1" applyBorder="1" applyAlignment="1">
      <alignment horizontal="center" vertical="center" wrapText="1"/>
      <protection/>
    </xf>
    <xf numFmtId="180" fontId="154" fillId="0" borderId="0" xfId="57" applyNumberFormat="1" applyFont="1" applyFill="1" applyBorder="1" applyAlignment="1">
      <alignment horizontal="center" vertical="center" wrapText="1"/>
      <protection/>
    </xf>
    <xf numFmtId="204" fontId="154" fillId="0" borderId="10" xfId="57" applyNumberFormat="1" applyFont="1" applyFill="1" applyBorder="1" applyAlignment="1">
      <alignment horizontal="center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08" fontId="154" fillId="0" borderId="15" xfId="57" applyNumberFormat="1" applyFont="1" applyFill="1" applyBorder="1" applyAlignment="1">
      <alignment horizontal="center" vertical="center" wrapText="1"/>
      <protection/>
    </xf>
    <xf numFmtId="208" fontId="153" fillId="0" borderId="18" xfId="57" applyNumberFormat="1" applyFont="1" applyFill="1" applyBorder="1" applyAlignment="1">
      <alignment horizontal="center" vertical="center" wrapText="1"/>
      <protection/>
    </xf>
    <xf numFmtId="0" fontId="72" fillId="0" borderId="14" xfId="57" applyFont="1" applyFill="1" applyBorder="1" applyAlignment="1">
      <alignment horizontal="center" vertical="center" wrapText="1"/>
      <protection/>
    </xf>
    <xf numFmtId="180" fontId="155" fillId="0" borderId="0" xfId="57" applyNumberFormat="1" applyFont="1" applyFill="1" applyBorder="1" applyAlignment="1">
      <alignment horizontal="center" vertical="center" wrapText="1"/>
      <protection/>
    </xf>
    <xf numFmtId="204" fontId="155" fillId="0" borderId="10" xfId="57" applyNumberFormat="1" applyFont="1" applyFill="1" applyBorder="1" applyAlignment="1">
      <alignment horizontal="center" vertical="center" wrapText="1"/>
      <protection/>
    </xf>
    <xf numFmtId="208" fontId="156" fillId="0" borderId="15" xfId="57" applyNumberFormat="1" applyFont="1" applyFill="1" applyBorder="1" applyAlignment="1">
      <alignment horizontal="center" vertical="center" wrapText="1"/>
      <protection/>
    </xf>
    <xf numFmtId="0" fontId="155" fillId="0" borderId="0" xfId="57" applyFont="1" applyFill="1" applyBorder="1" applyAlignment="1">
      <alignment horizontal="center" vertical="center" wrapText="1"/>
      <protection/>
    </xf>
    <xf numFmtId="208" fontId="154" fillId="0" borderId="0" xfId="57" applyNumberFormat="1" applyFont="1" applyFill="1" applyBorder="1" applyAlignment="1">
      <alignment horizontal="center" vertical="center" wrapText="1"/>
      <protection/>
    </xf>
    <xf numFmtId="0" fontId="154" fillId="0" borderId="10" xfId="57" applyFont="1" applyFill="1" applyBorder="1" applyAlignment="1">
      <alignment horizontal="center" vertical="center" wrapText="1"/>
      <protection/>
    </xf>
    <xf numFmtId="208" fontId="155" fillId="0" borderId="0" xfId="57" applyNumberFormat="1" applyFont="1" applyFill="1" applyBorder="1" applyAlignment="1">
      <alignment horizontal="center" vertical="center" wrapText="1"/>
      <protection/>
    </xf>
    <xf numFmtId="0" fontId="155" fillId="0" borderId="1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206" fontId="157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Alignment="1">
      <alignment horizontal="center" vertical="center" wrapText="1"/>
      <protection/>
    </xf>
    <xf numFmtId="208" fontId="157" fillId="0" borderId="0" xfId="57" applyNumberFormat="1" applyFont="1" applyFill="1" applyAlignment="1">
      <alignment horizontal="center" vertical="center" wrapText="1"/>
      <protection/>
    </xf>
    <xf numFmtId="180" fontId="154" fillId="0" borderId="0" xfId="57" applyNumberFormat="1" applyFont="1" applyFill="1" applyAlignment="1">
      <alignment horizontal="center" vertical="center" wrapText="1"/>
      <protection/>
    </xf>
    <xf numFmtId="0" fontId="157" fillId="0" borderId="0" xfId="57" applyFont="1" applyFill="1" applyBorder="1" applyAlignment="1">
      <alignment horizontal="center" vertical="center" wrapText="1"/>
      <protection/>
    </xf>
    <xf numFmtId="208" fontId="157" fillId="0" borderId="0" xfId="57" applyNumberFormat="1" applyFont="1" applyFill="1" applyBorder="1" applyAlignment="1">
      <alignment horizontal="center" vertical="center" wrapText="1"/>
      <protection/>
    </xf>
    <xf numFmtId="206" fontId="63" fillId="0" borderId="0" xfId="57" applyNumberFormat="1" applyFont="1" applyFill="1" applyAlignment="1">
      <alignment horizontal="center" vertical="center" wrapText="1"/>
      <protection/>
    </xf>
    <xf numFmtId="180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08" fontId="100" fillId="0" borderId="0" xfId="0" applyNumberFormat="1" applyFont="1" applyFill="1" applyBorder="1" applyAlignment="1">
      <alignment horizontal="center" vertical="center" wrapText="1"/>
    </xf>
    <xf numFmtId="206" fontId="11" fillId="0" borderId="0" xfId="57" applyNumberFormat="1" applyFont="1" applyFill="1" applyAlignment="1">
      <alignment horizontal="center" vertical="center" wrapText="1"/>
      <protection/>
    </xf>
    <xf numFmtId="208" fontId="11" fillId="0" borderId="0" xfId="57" applyNumberFormat="1" applyFont="1" applyFill="1" applyAlignment="1">
      <alignment horizontal="center" vertical="center" wrapText="1"/>
      <protection/>
    </xf>
    <xf numFmtId="180" fontId="63" fillId="0" borderId="0" xfId="57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08" fontId="11" fillId="0" borderId="0" xfId="57" applyNumberFormat="1" applyFont="1" applyFill="1" applyBorder="1" applyAlignment="1">
      <alignment horizontal="center" vertical="center" wrapText="1"/>
      <protection/>
    </xf>
    <xf numFmtId="206" fontId="11" fillId="0" borderId="0" xfId="57" applyNumberFormat="1" applyFont="1" applyFill="1" applyBorder="1" applyAlignment="1">
      <alignment horizontal="center" vertical="center" wrapText="1"/>
      <protection/>
    </xf>
    <xf numFmtId="182" fontId="13" fillId="0" borderId="0" xfId="57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1" fillId="0" borderId="0" xfId="57" applyFont="1" applyFill="1" applyBorder="1" applyAlignment="1">
      <alignment horizontal="center" vertical="center" wrapText="1"/>
      <protection/>
    </xf>
    <xf numFmtId="183" fontId="71" fillId="0" borderId="0" xfId="57" applyNumberFormat="1" applyFont="1" applyFill="1" applyAlignment="1">
      <alignment horizontal="center" vertical="center" wrapText="1"/>
      <protection/>
    </xf>
    <xf numFmtId="9" fontId="63" fillId="0" borderId="0" xfId="66" applyFont="1" applyFill="1" applyAlignment="1">
      <alignment horizontal="center" vertical="center" wrapText="1"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2" fontId="70" fillId="0" borderId="0" xfId="57" applyNumberFormat="1" applyFont="1" applyFill="1" applyBorder="1" applyAlignment="1">
      <alignment horizontal="center" vertical="center" wrapText="1"/>
      <protection/>
    </xf>
    <xf numFmtId="2" fontId="71" fillId="0" borderId="0" xfId="57" applyNumberFormat="1" applyFont="1" applyFill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0" fontId="10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208" fontId="103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208" fontId="103" fillId="0" borderId="10" xfId="0" applyNumberFormat="1" applyFont="1" applyFill="1" applyBorder="1" applyAlignment="1">
      <alignment horizontal="center" wrapText="1"/>
    </xf>
    <xf numFmtId="0" fontId="103" fillId="0" borderId="10" xfId="0" applyFont="1" applyFill="1" applyBorder="1" applyAlignment="1">
      <alignment horizontal="center"/>
    </xf>
    <xf numFmtId="0" fontId="103" fillId="0" borderId="10" xfId="0" applyFont="1" applyFill="1" applyBorder="1" applyAlignment="1">
      <alignment horizontal="center" wrapText="1"/>
    </xf>
    <xf numFmtId="208" fontId="103" fillId="0" borderId="0" xfId="0" applyNumberFormat="1" applyFont="1" applyFill="1" applyAlignment="1">
      <alignment horizontal="center"/>
    </xf>
    <xf numFmtId="0" fontId="105" fillId="0" borderId="10" xfId="57" applyFont="1" applyFill="1" applyBorder="1" applyAlignment="1">
      <alignment horizontal="center" vertical="center"/>
      <protection/>
    </xf>
    <xf numFmtId="1" fontId="105" fillId="0" borderId="10" xfId="57" applyNumberFormat="1" applyFont="1" applyFill="1" applyBorder="1" applyAlignment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 wrapText="1"/>
    </xf>
    <xf numFmtId="2" fontId="158" fillId="0" borderId="0" xfId="57" applyNumberFormat="1" applyFont="1" applyFill="1" applyBorder="1" applyAlignment="1">
      <alignment horizontal="center" vertical="center" wrapText="1"/>
      <protection/>
    </xf>
    <xf numFmtId="211" fontId="72" fillId="0" borderId="10" xfId="57" applyNumberFormat="1" applyFont="1" applyFill="1" applyBorder="1" applyAlignment="1">
      <alignment horizontal="center" vertical="center" wrapText="1"/>
      <protection/>
    </xf>
    <xf numFmtId="208" fontId="84" fillId="0" borderId="13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208" fontId="84" fillId="0" borderId="15" xfId="0" applyNumberFormat="1" applyFont="1" applyFill="1" applyBorder="1" applyAlignment="1">
      <alignment horizontal="center" vertical="center" wrapText="1"/>
    </xf>
    <xf numFmtId="208" fontId="15" fillId="0" borderId="10" xfId="57" applyNumberFormat="1" applyFont="1" applyFill="1" applyBorder="1" applyAlignment="1">
      <alignment horizontal="center" vertical="center" wrapText="1"/>
      <protection/>
    </xf>
    <xf numFmtId="208" fontId="159" fillId="0" borderId="10" xfId="0" applyNumberFormat="1" applyFont="1" applyFill="1" applyBorder="1" applyAlignment="1">
      <alignment horizontal="center" vertical="center" wrapText="1"/>
    </xf>
    <xf numFmtId="208" fontId="153" fillId="0" borderId="10" xfId="57" applyNumberFormat="1" applyFont="1" applyFill="1" applyBorder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208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center" vertical="center" wrapText="1"/>
    </xf>
    <xf numFmtId="1" fontId="110" fillId="0" borderId="10" xfId="0" applyNumberFormat="1" applyFont="1" applyFill="1" applyBorder="1" applyAlignment="1">
      <alignment horizontal="center" vertical="center"/>
    </xf>
    <xf numFmtId="0" fontId="110" fillId="0" borderId="10" xfId="0" applyNumberFormat="1" applyFont="1" applyFill="1" applyBorder="1" applyAlignment="1">
      <alignment horizontal="center" vertical="center"/>
    </xf>
    <xf numFmtId="2" fontId="110" fillId="0" borderId="1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5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7" applyFont="1" applyFill="1" applyBorder="1" applyAlignment="1">
      <alignment horizontal="center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7" xfId="63" applyFont="1" applyBorder="1" applyAlignment="1">
      <alignment horizontal="center"/>
      <protection/>
    </xf>
    <xf numFmtId="0" fontId="22" fillId="0" borderId="14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9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8" xfId="63" applyFont="1" applyFill="1" applyBorder="1" applyAlignment="1">
      <alignment horizontal="center" vertical="center" wrapText="1"/>
      <protection/>
    </xf>
    <xf numFmtId="0" fontId="17" fillId="0" borderId="15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7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4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8" xfId="62" applyFont="1" applyBorder="1" applyAlignment="1">
      <alignment horizontal="center" vertical="center" wrapText="1"/>
      <protection/>
    </xf>
    <xf numFmtId="0" fontId="35" fillId="0" borderId="15" xfId="62" applyFont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35" fillId="36" borderId="17" xfId="62" applyFont="1" applyFill="1" applyBorder="1" applyAlignment="1">
      <alignment horizontal="center" vertical="center" wrapText="1"/>
      <protection/>
    </xf>
    <xf numFmtId="0" fontId="35" fillId="36" borderId="14" xfId="62" applyFont="1" applyFill="1" applyBorder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8" xfId="62" applyFont="1" applyBorder="1" applyAlignment="1">
      <alignment horizontal="center" vertical="center" wrapText="1"/>
      <protection/>
    </xf>
    <xf numFmtId="0" fontId="58" fillId="0" borderId="15" xfId="62" applyFont="1" applyBorder="1" applyAlignment="1">
      <alignment horizontal="center" vertical="center" wrapText="1"/>
      <protection/>
    </xf>
    <xf numFmtId="0" fontId="36" fillId="36" borderId="17" xfId="62" applyFont="1" applyFill="1" applyBorder="1" applyAlignment="1">
      <alignment horizontal="center" vertical="center" wrapText="1"/>
      <protection/>
    </xf>
    <xf numFmtId="0" fontId="36" fillId="36" borderId="14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6" fillId="34" borderId="17" xfId="62" applyFont="1" applyFill="1" applyBorder="1" applyAlignment="1">
      <alignment horizontal="center" vertical="center" wrapText="1"/>
      <protection/>
    </xf>
    <xf numFmtId="0" fontId="36" fillId="34" borderId="22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/>
    </xf>
    <xf numFmtId="17" fontId="89" fillId="0" borderId="19" xfId="0" applyNumberFormat="1" applyFont="1" applyFill="1" applyBorder="1" applyAlignment="1" quotePrefix="1">
      <alignment horizontal="center"/>
    </xf>
    <xf numFmtId="0" fontId="89" fillId="0" borderId="19" xfId="0" applyFont="1" applyFill="1" applyBorder="1" applyAlignment="1">
      <alignment horizontal="center"/>
    </xf>
    <xf numFmtId="2" fontId="135" fillId="0" borderId="0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55" zoomScaleSheetLayoutView="55" zoomScalePageLayoutView="0" workbookViewId="0" topLeftCell="A13">
      <pane xSplit="2" topLeftCell="C1" activePane="topRight" state="frozen"/>
      <selection pane="topLeft" activeCell="A1" sqref="A1"/>
      <selection pane="topRight" activeCell="L28" sqref="L28"/>
    </sheetView>
  </sheetViews>
  <sheetFormatPr defaultColWidth="9.140625" defaultRowHeight="15"/>
  <cols>
    <col min="1" max="1" width="6.28125" style="189" customWidth="1"/>
    <col min="2" max="2" width="26.28125" style="189" bestFit="1" customWidth="1"/>
    <col min="3" max="3" width="20.00390625" style="189" customWidth="1"/>
    <col min="4" max="7" width="17.28125" style="189" customWidth="1"/>
    <col min="8" max="8" width="16.28125" style="189" customWidth="1"/>
    <col min="9" max="9" width="18.421875" style="189" customWidth="1"/>
    <col min="10" max="10" width="18.140625" style="189" customWidth="1"/>
    <col min="11" max="11" width="16.140625" style="189" customWidth="1"/>
    <col min="12" max="12" width="18.57421875" style="189" customWidth="1"/>
    <col min="13" max="13" width="17.7109375" style="189" bestFit="1" customWidth="1"/>
    <col min="14" max="16" width="15.7109375" style="189" customWidth="1"/>
    <col min="17" max="17" width="20.7109375" style="189" customWidth="1"/>
    <col min="18" max="18" width="15.7109375" style="189" customWidth="1"/>
    <col min="19" max="21" width="12.7109375" style="189" customWidth="1"/>
    <col min="22" max="22" width="17.57421875" style="189" customWidth="1"/>
    <col min="23" max="23" width="23.57421875" style="189" customWidth="1"/>
    <col min="24" max="24" width="16.28125" style="171" customWidth="1"/>
    <col min="25" max="25" width="27.421875" style="171" customWidth="1"/>
    <col min="26" max="26" width="10.57421875" style="171" bestFit="1" customWidth="1"/>
    <col min="27" max="16384" width="9.140625" style="171" customWidth="1"/>
  </cols>
  <sheetData>
    <row r="1" spans="1:23" s="108" customFormat="1" ht="12" customHeight="1">
      <c r="A1" s="164"/>
      <c r="B1" s="107"/>
      <c r="C1" s="107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323"/>
      <c r="Q1" s="323"/>
      <c r="R1" s="323"/>
      <c r="S1" s="323"/>
      <c r="T1" s="164"/>
      <c r="U1" s="107"/>
      <c r="V1" s="107"/>
      <c r="W1" s="107"/>
    </row>
    <row r="2" spans="1:23" s="108" customFormat="1" ht="31.5" customHeight="1">
      <c r="A2" s="324" t="s">
        <v>123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165"/>
      <c r="W2" s="165"/>
    </row>
    <row r="3" spans="1:23" s="108" customFormat="1" ht="1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315" t="s">
        <v>145</v>
      </c>
      <c r="T3" s="315"/>
      <c r="U3" s="107"/>
      <c r="V3" s="107"/>
      <c r="W3" s="107"/>
    </row>
    <row r="4" spans="1:23" s="108" customFormat="1" ht="24.75" customHeight="1">
      <c r="A4" s="325" t="s">
        <v>36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167"/>
      <c r="W4" s="167"/>
    </row>
    <row r="5" spans="1:23" s="108" customFormat="1" ht="13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9"/>
      <c r="T5" s="107"/>
      <c r="U5" s="107"/>
      <c r="V5" s="107"/>
      <c r="W5" s="107"/>
    </row>
    <row r="6" spans="1:23" ht="30.75" customHeight="1">
      <c r="A6" s="326" t="s">
        <v>150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170"/>
      <c r="W6" s="170"/>
    </row>
    <row r="7" spans="1:23" s="178" customFormat="1" ht="35.25" customHeight="1">
      <c r="A7" s="172"/>
      <c r="B7" s="173"/>
      <c r="C7" s="174"/>
      <c r="D7" s="174"/>
      <c r="E7" s="174"/>
      <c r="F7" s="174"/>
      <c r="G7" s="174"/>
      <c r="H7" s="175"/>
      <c r="I7" s="174"/>
      <c r="J7" s="174"/>
      <c r="K7" s="174"/>
      <c r="L7" s="176"/>
      <c r="M7" s="176"/>
      <c r="N7" s="176"/>
      <c r="O7" s="174"/>
      <c r="P7" s="176"/>
      <c r="Q7" s="174"/>
      <c r="R7" s="174"/>
      <c r="S7" s="174"/>
      <c r="T7" s="177"/>
      <c r="U7" s="173"/>
      <c r="W7" s="179"/>
    </row>
    <row r="8" spans="1:21" s="181" customFormat="1" ht="20.25">
      <c r="A8" s="318">
        <v>1</v>
      </c>
      <c r="B8" s="318">
        <v>2</v>
      </c>
      <c r="C8" s="180"/>
      <c r="D8" s="318">
        <v>3</v>
      </c>
      <c r="E8" s="318"/>
      <c r="F8" s="318"/>
      <c r="G8" s="318"/>
      <c r="H8" s="318">
        <v>4</v>
      </c>
      <c r="I8" s="318">
        <v>5</v>
      </c>
      <c r="J8" s="318">
        <v>6</v>
      </c>
      <c r="K8" s="318">
        <v>7</v>
      </c>
      <c r="L8" s="318">
        <v>8</v>
      </c>
      <c r="M8" s="318">
        <v>9</v>
      </c>
      <c r="N8" s="318"/>
      <c r="O8" s="318"/>
      <c r="P8" s="318"/>
      <c r="Q8" s="318"/>
      <c r="R8" s="180"/>
      <c r="S8" s="318">
        <v>10</v>
      </c>
      <c r="T8" s="318">
        <v>11</v>
      </c>
      <c r="U8" s="318">
        <v>12</v>
      </c>
    </row>
    <row r="9" spans="1:21" s="181" customFormat="1" ht="20.25">
      <c r="A9" s="318"/>
      <c r="B9" s="318"/>
      <c r="C9" s="180"/>
      <c r="D9" s="180" t="s">
        <v>16</v>
      </c>
      <c r="E9" s="180" t="s">
        <v>17</v>
      </c>
      <c r="F9" s="180" t="s">
        <v>18</v>
      </c>
      <c r="G9" s="180" t="s">
        <v>19</v>
      </c>
      <c r="H9" s="318"/>
      <c r="I9" s="318">
        <v>5</v>
      </c>
      <c r="J9" s="318">
        <v>6</v>
      </c>
      <c r="K9" s="318">
        <v>7</v>
      </c>
      <c r="L9" s="318">
        <v>8</v>
      </c>
      <c r="M9" s="180" t="s">
        <v>16</v>
      </c>
      <c r="N9" s="180" t="s">
        <v>17</v>
      </c>
      <c r="O9" s="180" t="s">
        <v>18</v>
      </c>
      <c r="P9" s="180" t="s">
        <v>19</v>
      </c>
      <c r="Q9" s="180" t="s">
        <v>20</v>
      </c>
      <c r="R9" s="180"/>
      <c r="S9" s="318"/>
      <c r="T9" s="318"/>
      <c r="U9" s="318"/>
    </row>
    <row r="10" spans="1:23" s="184" customFormat="1" ht="76.5" customHeight="1">
      <c r="A10" s="318" t="s">
        <v>0</v>
      </c>
      <c r="B10" s="321" t="s">
        <v>21</v>
      </c>
      <c r="C10" s="318" t="s">
        <v>134</v>
      </c>
      <c r="D10" s="330" t="s">
        <v>1</v>
      </c>
      <c r="E10" s="330"/>
      <c r="F10" s="330"/>
      <c r="G10" s="330"/>
      <c r="H10" s="318" t="s">
        <v>6</v>
      </c>
      <c r="I10" s="318" t="s">
        <v>7</v>
      </c>
      <c r="J10" s="318" t="s">
        <v>8</v>
      </c>
      <c r="K10" s="318" t="s">
        <v>9</v>
      </c>
      <c r="L10" s="318" t="s">
        <v>10</v>
      </c>
      <c r="M10" s="318" t="s">
        <v>11</v>
      </c>
      <c r="N10" s="318"/>
      <c r="O10" s="318"/>
      <c r="P10" s="318"/>
      <c r="Q10" s="318"/>
      <c r="R10" s="318"/>
      <c r="S10" s="327" t="s">
        <v>13</v>
      </c>
      <c r="T10" s="327" t="s">
        <v>14</v>
      </c>
      <c r="U10" s="327" t="s">
        <v>15</v>
      </c>
      <c r="V10" s="183"/>
      <c r="W10" s="183"/>
    </row>
    <row r="11" spans="1:23" s="184" customFormat="1" ht="207.75" customHeight="1">
      <c r="A11" s="318"/>
      <c r="B11" s="321"/>
      <c r="C11" s="318"/>
      <c r="D11" s="182" t="s">
        <v>2</v>
      </c>
      <c r="E11" s="182" t="s">
        <v>3</v>
      </c>
      <c r="F11" s="182" t="s">
        <v>4</v>
      </c>
      <c r="G11" s="182" t="s">
        <v>5</v>
      </c>
      <c r="H11" s="318"/>
      <c r="I11" s="318"/>
      <c r="J11" s="318"/>
      <c r="K11" s="318"/>
      <c r="L11" s="318"/>
      <c r="M11" s="180" t="s">
        <v>2</v>
      </c>
      <c r="N11" s="180" t="s">
        <v>3</v>
      </c>
      <c r="O11" s="180" t="s">
        <v>4</v>
      </c>
      <c r="P11" s="180" t="s">
        <v>5</v>
      </c>
      <c r="Q11" s="180" t="s">
        <v>12</v>
      </c>
      <c r="R11" s="180" t="s">
        <v>109</v>
      </c>
      <c r="S11" s="327"/>
      <c r="T11" s="327"/>
      <c r="U11" s="327"/>
      <c r="V11" s="329" t="s">
        <v>139</v>
      </c>
      <c r="W11" s="327" t="s">
        <v>124</v>
      </c>
    </row>
    <row r="12" spans="1:23" s="181" customFormat="1" ht="42" customHeight="1">
      <c r="A12" s="180">
        <v>1</v>
      </c>
      <c r="B12" s="180">
        <v>2</v>
      </c>
      <c r="C12" s="180">
        <v>3</v>
      </c>
      <c r="D12" s="180" t="s">
        <v>111</v>
      </c>
      <c r="E12" s="180" t="s">
        <v>112</v>
      </c>
      <c r="F12" s="180" t="s">
        <v>113</v>
      </c>
      <c r="G12" s="180" t="s">
        <v>114</v>
      </c>
      <c r="H12" s="180">
        <v>4</v>
      </c>
      <c r="I12" s="180">
        <v>5</v>
      </c>
      <c r="J12" s="180">
        <v>6</v>
      </c>
      <c r="K12" s="180">
        <v>7</v>
      </c>
      <c r="L12" s="180">
        <v>8</v>
      </c>
      <c r="M12" s="180" t="s">
        <v>115</v>
      </c>
      <c r="N12" s="180" t="s">
        <v>116</v>
      </c>
      <c r="O12" s="180" t="s">
        <v>117</v>
      </c>
      <c r="P12" s="180" t="s">
        <v>118</v>
      </c>
      <c r="Q12" s="180" t="s">
        <v>119</v>
      </c>
      <c r="R12" s="180" t="s">
        <v>110</v>
      </c>
      <c r="S12" s="180">
        <v>10</v>
      </c>
      <c r="T12" s="180">
        <v>11</v>
      </c>
      <c r="U12" s="180">
        <v>12</v>
      </c>
      <c r="V12" s="329"/>
      <c r="W12" s="328"/>
    </row>
    <row r="13" spans="1:26" s="187" customFormat="1" ht="47.25" customHeight="1">
      <c r="A13" s="99">
        <v>1</v>
      </c>
      <c r="B13" s="99" t="s">
        <v>22</v>
      </c>
      <c r="C13" s="99">
        <v>40448</v>
      </c>
      <c r="D13" s="99">
        <v>21046</v>
      </c>
      <c r="E13" s="99">
        <v>8586</v>
      </c>
      <c r="F13" s="99">
        <v>10816</v>
      </c>
      <c r="G13" s="99">
        <f>SUM(D13:F13)</f>
        <v>40448</v>
      </c>
      <c r="H13" s="99">
        <v>14459</v>
      </c>
      <c r="I13" s="99">
        <v>9125</v>
      </c>
      <c r="J13" s="305">
        <v>14459</v>
      </c>
      <c r="K13" s="305">
        <v>2789</v>
      </c>
      <c r="L13" s="99">
        <v>321261</v>
      </c>
      <c r="M13" s="100">
        <v>1.6803919</v>
      </c>
      <c r="N13" s="100">
        <v>0.9181432999999999</v>
      </c>
      <c r="O13" s="100">
        <v>0.5289648</v>
      </c>
      <c r="P13" s="100">
        <v>3.1614899999999997</v>
      </c>
      <c r="Q13" s="100">
        <v>1.4699661</v>
      </c>
      <c r="R13" s="100">
        <v>0.0682348</v>
      </c>
      <c r="S13" s="99">
        <v>0</v>
      </c>
      <c r="T13" s="99">
        <v>782</v>
      </c>
      <c r="U13" s="99">
        <v>11</v>
      </c>
      <c r="V13" s="100">
        <f>(Q13/P13)*100</f>
        <v>46.49599081445774</v>
      </c>
      <c r="W13" s="185">
        <f>(P13*100000)/J13</f>
        <v>21.86520506259077</v>
      </c>
      <c r="X13" s="186">
        <f>V13</f>
        <v>46.49599081445774</v>
      </c>
      <c r="Y13" s="186"/>
      <c r="Z13" s="186"/>
    </row>
    <row r="14" spans="1:26" s="187" customFormat="1" ht="53.25" customHeight="1">
      <c r="A14" s="99">
        <v>2</v>
      </c>
      <c r="B14" s="99" t="s">
        <v>23</v>
      </c>
      <c r="C14" s="99">
        <v>45348</v>
      </c>
      <c r="D14" s="99">
        <v>17364</v>
      </c>
      <c r="E14" s="99">
        <v>5206</v>
      </c>
      <c r="F14" s="99">
        <v>22778</v>
      </c>
      <c r="G14" s="99">
        <v>45348</v>
      </c>
      <c r="H14" s="99">
        <v>22524</v>
      </c>
      <c r="I14" s="99">
        <v>10587</v>
      </c>
      <c r="J14" s="99">
        <v>22524</v>
      </c>
      <c r="K14" s="99">
        <v>2072</v>
      </c>
      <c r="L14" s="99">
        <v>372865</v>
      </c>
      <c r="M14" s="100">
        <v>2.0914800000000002</v>
      </c>
      <c r="N14" s="100">
        <v>1.0073699999999999</v>
      </c>
      <c r="O14" s="100">
        <v>1.7041499999999998</v>
      </c>
      <c r="P14" s="100">
        <v>4.803</v>
      </c>
      <c r="Q14" s="100">
        <v>1.6792899999999997</v>
      </c>
      <c r="R14" s="100">
        <v>2.2638524</v>
      </c>
      <c r="S14" s="99">
        <v>87</v>
      </c>
      <c r="T14" s="99">
        <v>576</v>
      </c>
      <c r="U14" s="99">
        <v>113</v>
      </c>
      <c r="V14" s="100">
        <f aca="true" t="shared" si="0" ref="V14:V26">(Q14/P14)*100</f>
        <v>34.96335623568602</v>
      </c>
      <c r="W14" s="185">
        <f aca="true" t="shared" si="1" ref="W14:W26">(P14*100000)/J14</f>
        <v>21.32392115077251</v>
      </c>
      <c r="X14" s="186">
        <f aca="true" t="shared" si="2" ref="X14:X26">V14</f>
        <v>34.96335623568602</v>
      </c>
      <c r="Y14" s="186"/>
      <c r="Z14" s="186"/>
    </row>
    <row r="15" spans="1:26" s="187" customFormat="1" ht="47.25" customHeight="1">
      <c r="A15" s="99">
        <v>3</v>
      </c>
      <c r="B15" s="99" t="s">
        <v>24</v>
      </c>
      <c r="C15" s="99">
        <v>78560</v>
      </c>
      <c r="D15" s="99">
        <v>39105</v>
      </c>
      <c r="E15" s="99">
        <v>16764</v>
      </c>
      <c r="F15" s="99">
        <v>22691</v>
      </c>
      <c r="G15" s="99">
        <v>78560</v>
      </c>
      <c r="H15" s="99">
        <v>43951</v>
      </c>
      <c r="I15" s="99">
        <v>23707</v>
      </c>
      <c r="J15" s="99">
        <v>40740</v>
      </c>
      <c r="K15" s="305">
        <v>38308</v>
      </c>
      <c r="L15" s="99">
        <v>1064767</v>
      </c>
      <c r="M15" s="100">
        <v>4.19763</v>
      </c>
      <c r="N15" s="100">
        <v>1.91679</v>
      </c>
      <c r="O15" s="100">
        <v>2.138</v>
      </c>
      <c r="P15" s="100">
        <v>8.25242</v>
      </c>
      <c r="Q15" s="306">
        <v>2.79553</v>
      </c>
      <c r="R15" s="306">
        <f>10854/100000</f>
        <v>0.10854</v>
      </c>
      <c r="S15" s="99">
        <v>0</v>
      </c>
      <c r="T15" s="99">
        <v>52</v>
      </c>
      <c r="U15" s="99">
        <v>10</v>
      </c>
      <c r="V15" s="100">
        <f t="shared" si="0"/>
        <v>33.87527537376914</v>
      </c>
      <c r="W15" s="185">
        <f t="shared" si="1"/>
        <v>20.256308296514486</v>
      </c>
      <c r="X15" s="186">
        <f t="shared" si="2"/>
        <v>33.87527537376914</v>
      </c>
      <c r="Y15" s="186"/>
      <c r="Z15" s="186"/>
    </row>
    <row r="16" spans="1:26" s="308" customFormat="1" ht="47.25" customHeight="1">
      <c r="A16" s="99">
        <v>4</v>
      </c>
      <c r="B16" s="99" t="s">
        <v>25</v>
      </c>
      <c r="C16" s="99">
        <v>52369</v>
      </c>
      <c r="D16" s="99">
        <v>24258</v>
      </c>
      <c r="E16" s="99">
        <v>10148</v>
      </c>
      <c r="F16" s="99">
        <v>17963</v>
      </c>
      <c r="G16" s="99">
        <v>52369</v>
      </c>
      <c r="H16" s="99">
        <v>21586</v>
      </c>
      <c r="I16" s="99">
        <v>20084</v>
      </c>
      <c r="J16" s="99">
        <v>21586</v>
      </c>
      <c r="K16" s="99">
        <v>4921</v>
      </c>
      <c r="L16" s="99">
        <v>707291</v>
      </c>
      <c r="M16" s="307">
        <v>1.2772499999999998</v>
      </c>
      <c r="N16" s="307">
        <v>0.86083</v>
      </c>
      <c r="O16" s="307">
        <v>1.0472299999999999</v>
      </c>
      <c r="P16" s="100">
        <v>3.18531</v>
      </c>
      <c r="Q16" s="306">
        <v>1.5307</v>
      </c>
      <c r="R16" s="306">
        <v>0.37487</v>
      </c>
      <c r="S16" s="99">
        <v>25</v>
      </c>
      <c r="T16" s="99">
        <v>1124</v>
      </c>
      <c r="U16" s="305">
        <v>24</v>
      </c>
      <c r="V16" s="100">
        <f t="shared" si="0"/>
        <v>48.05497738053753</v>
      </c>
      <c r="W16" s="185">
        <f t="shared" si="1"/>
        <v>14.75636986935977</v>
      </c>
      <c r="X16" s="186">
        <f t="shared" si="2"/>
        <v>48.05497738053753</v>
      </c>
      <c r="Y16" s="186"/>
      <c r="Z16" s="186"/>
    </row>
    <row r="17" spans="1:26" s="187" customFormat="1" ht="47.25" customHeight="1">
      <c r="A17" s="99">
        <v>5</v>
      </c>
      <c r="B17" s="99" t="s">
        <v>26</v>
      </c>
      <c r="C17" s="99">
        <v>61233</v>
      </c>
      <c r="D17" s="99">
        <v>8934</v>
      </c>
      <c r="E17" s="99">
        <v>31849</v>
      </c>
      <c r="F17" s="99">
        <v>19633</v>
      </c>
      <c r="G17" s="99">
        <v>60416</v>
      </c>
      <c r="H17" s="99">
        <v>29231</v>
      </c>
      <c r="I17" s="99">
        <v>17992</v>
      </c>
      <c r="J17" s="99">
        <v>29231</v>
      </c>
      <c r="K17" s="99">
        <v>8514</v>
      </c>
      <c r="L17" s="99">
        <v>633168</v>
      </c>
      <c r="M17" s="105">
        <v>1.00508</v>
      </c>
      <c r="N17" s="105">
        <v>3.5315400000000006</v>
      </c>
      <c r="O17" s="105">
        <v>2.12566</v>
      </c>
      <c r="P17" s="100">
        <v>6.662280000000001</v>
      </c>
      <c r="Q17" s="306">
        <v>3.0675399999999997</v>
      </c>
      <c r="R17" s="306">
        <v>0.20786000000000002</v>
      </c>
      <c r="S17" s="305">
        <v>156</v>
      </c>
      <c r="T17" s="305">
        <v>1499</v>
      </c>
      <c r="U17" s="305">
        <v>27</v>
      </c>
      <c r="V17" s="100">
        <f t="shared" si="0"/>
        <v>46.04339655493314</v>
      </c>
      <c r="W17" s="185">
        <f t="shared" si="1"/>
        <v>22.79183059081113</v>
      </c>
      <c r="X17" s="186">
        <f t="shared" si="2"/>
        <v>46.04339655493314</v>
      </c>
      <c r="Y17" s="186"/>
      <c r="Z17" s="186"/>
    </row>
    <row r="18" spans="1:26" s="187" customFormat="1" ht="47.25" customHeight="1">
      <c r="A18" s="99">
        <v>6</v>
      </c>
      <c r="B18" s="99" t="s">
        <v>27</v>
      </c>
      <c r="C18" s="305">
        <v>41126</v>
      </c>
      <c r="D18" s="305">
        <v>16921</v>
      </c>
      <c r="E18" s="305">
        <v>13846</v>
      </c>
      <c r="F18" s="305">
        <v>10029</v>
      </c>
      <c r="G18" s="99">
        <v>41078</v>
      </c>
      <c r="H18" s="305">
        <v>28109</v>
      </c>
      <c r="I18" s="99">
        <v>29629</v>
      </c>
      <c r="J18" s="305">
        <v>26809</v>
      </c>
      <c r="K18" s="305">
        <v>10634</v>
      </c>
      <c r="L18" s="99">
        <v>1043393</v>
      </c>
      <c r="M18" s="307">
        <v>3.6298700000000004</v>
      </c>
      <c r="N18" s="307">
        <v>1.72517</v>
      </c>
      <c r="O18" s="307">
        <v>6.955150000000001</v>
      </c>
      <c r="P18" s="100">
        <f>SUM(M18:O18)</f>
        <v>12.310190000000002</v>
      </c>
      <c r="Q18" s="306">
        <v>2.1352700000000002</v>
      </c>
      <c r="R18" s="100">
        <v>0.25</v>
      </c>
      <c r="S18" s="99">
        <v>15</v>
      </c>
      <c r="T18" s="99">
        <v>335</v>
      </c>
      <c r="U18" s="99">
        <v>44</v>
      </c>
      <c r="V18" s="100">
        <f t="shared" si="0"/>
        <v>17.345548687713187</v>
      </c>
      <c r="W18" s="185">
        <f t="shared" si="1"/>
        <v>45.91812451042561</v>
      </c>
      <c r="X18" s="186">
        <f t="shared" si="2"/>
        <v>17.345548687713187</v>
      </c>
      <c r="Y18" s="186"/>
      <c r="Z18" s="186"/>
    </row>
    <row r="19" spans="1:26" s="187" customFormat="1" ht="47.25" customHeight="1">
      <c r="A19" s="99">
        <v>7</v>
      </c>
      <c r="B19" s="99" t="s">
        <v>125</v>
      </c>
      <c r="C19" s="309">
        <v>39545</v>
      </c>
      <c r="D19" s="309">
        <v>4659</v>
      </c>
      <c r="E19" s="309">
        <v>11568</v>
      </c>
      <c r="F19" s="309">
        <v>23318</v>
      </c>
      <c r="G19" s="309">
        <v>39545</v>
      </c>
      <c r="H19" s="309">
        <v>19686</v>
      </c>
      <c r="I19" s="309">
        <v>19673</v>
      </c>
      <c r="J19" s="309">
        <v>19686</v>
      </c>
      <c r="K19" s="309">
        <v>4782</v>
      </c>
      <c r="L19" s="310">
        <v>692741</v>
      </c>
      <c r="M19" s="311">
        <v>0.5844955</v>
      </c>
      <c r="N19" s="311">
        <v>0.9714339999999998</v>
      </c>
      <c r="O19" s="311">
        <v>0.9628804999999999</v>
      </c>
      <c r="P19" s="311">
        <v>2.51881</v>
      </c>
      <c r="Q19" s="311">
        <v>1.4119482</v>
      </c>
      <c r="R19" s="311">
        <v>0.39142550000000004</v>
      </c>
      <c r="S19" s="309">
        <v>16</v>
      </c>
      <c r="T19" s="309">
        <v>39</v>
      </c>
      <c r="U19" s="305">
        <v>11</v>
      </c>
      <c r="V19" s="100" t="e">
        <f>(#REF!/#REF!)*100</f>
        <v>#REF!</v>
      </c>
      <c r="W19" s="185" t="e">
        <f>(#REF!*100000)/#REF!</f>
        <v>#REF!</v>
      </c>
      <c r="X19" s="186" t="e">
        <f t="shared" si="2"/>
        <v>#REF!</v>
      </c>
      <c r="Y19" s="186"/>
      <c r="Z19" s="186"/>
    </row>
    <row r="20" spans="1:26" s="187" customFormat="1" ht="47.25" customHeight="1">
      <c r="A20" s="99">
        <v>8</v>
      </c>
      <c r="B20" s="99" t="s">
        <v>29</v>
      </c>
      <c r="C20" s="99">
        <v>58666</v>
      </c>
      <c r="D20" s="99">
        <v>18380</v>
      </c>
      <c r="E20" s="99">
        <v>21485</v>
      </c>
      <c r="F20" s="99">
        <v>18801</v>
      </c>
      <c r="G20" s="99">
        <v>58666</v>
      </c>
      <c r="H20" s="99">
        <v>19046</v>
      </c>
      <c r="I20" s="99">
        <v>15071</v>
      </c>
      <c r="J20" s="99">
        <v>16702</v>
      </c>
      <c r="K20" s="99">
        <v>3439</v>
      </c>
      <c r="L20" s="99">
        <v>530753</v>
      </c>
      <c r="M20" s="307">
        <v>1.17657</v>
      </c>
      <c r="N20" s="105">
        <v>1.13648</v>
      </c>
      <c r="O20" s="105">
        <v>1.29312</v>
      </c>
      <c r="P20" s="100">
        <v>3.6061699999999997</v>
      </c>
      <c r="Q20" s="306">
        <v>1.4345500000000004</v>
      </c>
      <c r="R20" s="306">
        <v>0</v>
      </c>
      <c r="S20" s="305">
        <v>3</v>
      </c>
      <c r="T20" s="305">
        <v>436</v>
      </c>
      <c r="U20" s="305">
        <v>26</v>
      </c>
      <c r="V20" s="100">
        <v>62.09622058054806</v>
      </c>
      <c r="W20" s="185">
        <v>21.21039273310179</v>
      </c>
      <c r="X20" s="186">
        <f t="shared" si="2"/>
        <v>62.09622058054806</v>
      </c>
      <c r="Y20" s="186"/>
      <c r="Z20" s="186"/>
    </row>
    <row r="21" spans="1:26" s="187" customFormat="1" ht="47.25" customHeight="1">
      <c r="A21" s="99">
        <v>9</v>
      </c>
      <c r="B21" s="99" t="s">
        <v>30</v>
      </c>
      <c r="C21" s="99">
        <v>24084</v>
      </c>
      <c r="D21" s="99">
        <v>5875</v>
      </c>
      <c r="E21" s="99">
        <v>12088</v>
      </c>
      <c r="F21" s="99">
        <v>6086</v>
      </c>
      <c r="G21" s="99">
        <v>24049</v>
      </c>
      <c r="H21" s="99">
        <v>15910</v>
      </c>
      <c r="I21" s="99">
        <v>7136</v>
      </c>
      <c r="J21" s="99">
        <v>15910</v>
      </c>
      <c r="K21" s="99">
        <v>10055</v>
      </c>
      <c r="L21" s="99">
        <v>251231</v>
      </c>
      <c r="M21" s="105">
        <v>1.0367899999999999</v>
      </c>
      <c r="N21" s="105">
        <v>1.5522900000000002</v>
      </c>
      <c r="O21" s="105">
        <v>0.72009</v>
      </c>
      <c r="P21" s="100">
        <v>3.30917</v>
      </c>
      <c r="Q21" s="100">
        <v>1.62926</v>
      </c>
      <c r="R21" s="100">
        <v>0.00954</v>
      </c>
      <c r="S21" s="99">
        <v>7</v>
      </c>
      <c r="T21" s="99">
        <v>239</v>
      </c>
      <c r="U21" s="99">
        <v>56</v>
      </c>
      <c r="V21" s="100">
        <f t="shared" si="0"/>
        <v>49.23470235738871</v>
      </c>
      <c r="W21" s="185">
        <f t="shared" si="1"/>
        <v>20.799308610936517</v>
      </c>
      <c r="X21" s="186">
        <f t="shared" si="2"/>
        <v>49.23470235738871</v>
      </c>
      <c r="Y21" s="186"/>
      <c r="Z21" s="186"/>
    </row>
    <row r="22" spans="1:26" s="187" customFormat="1" ht="47.25" customHeight="1">
      <c r="A22" s="99">
        <v>10</v>
      </c>
      <c r="B22" s="99" t="s">
        <v>31</v>
      </c>
      <c r="C22" s="99">
        <v>68959</v>
      </c>
      <c r="D22" s="99">
        <v>47486</v>
      </c>
      <c r="E22" s="99">
        <v>859</v>
      </c>
      <c r="F22" s="99">
        <v>19870</v>
      </c>
      <c r="G22" s="99">
        <v>68215</v>
      </c>
      <c r="H22" s="99">
        <v>17790</v>
      </c>
      <c r="I22" s="99">
        <v>18906</v>
      </c>
      <c r="J22" s="99">
        <v>17790</v>
      </c>
      <c r="K22" s="99">
        <v>11289</v>
      </c>
      <c r="L22" s="99">
        <v>1012745</v>
      </c>
      <c r="M22" s="105">
        <v>1.99003</v>
      </c>
      <c r="N22" s="105">
        <v>0.04388</v>
      </c>
      <c r="O22" s="105">
        <v>0.6181700000000001</v>
      </c>
      <c r="P22" s="100">
        <v>2.65208</v>
      </c>
      <c r="Q22" s="306">
        <v>1.10368</v>
      </c>
      <c r="R22" s="306">
        <v>0.08253460000000001</v>
      </c>
      <c r="S22" s="99">
        <v>0</v>
      </c>
      <c r="T22" s="99">
        <v>1099</v>
      </c>
      <c r="U22" s="305">
        <v>89</v>
      </c>
      <c r="V22" s="100">
        <f t="shared" si="0"/>
        <v>41.615637537329185</v>
      </c>
      <c r="W22" s="185">
        <f t="shared" si="1"/>
        <v>14.90770095559303</v>
      </c>
      <c r="X22" s="186">
        <f t="shared" si="2"/>
        <v>41.615637537329185</v>
      </c>
      <c r="Y22" s="186"/>
      <c r="Z22" s="186"/>
    </row>
    <row r="23" spans="1:26" s="187" customFormat="1" ht="47.25" customHeight="1">
      <c r="A23" s="99">
        <v>11</v>
      </c>
      <c r="B23" s="99" t="s">
        <v>32</v>
      </c>
      <c r="C23" s="99">
        <v>26423</v>
      </c>
      <c r="D23" s="99">
        <v>4066</v>
      </c>
      <c r="E23" s="99">
        <v>15342</v>
      </c>
      <c r="F23" s="99">
        <v>6959</v>
      </c>
      <c r="G23" s="99">
        <v>26367</v>
      </c>
      <c r="H23" s="99">
        <v>16175</v>
      </c>
      <c r="I23" s="99">
        <v>7817</v>
      </c>
      <c r="J23" s="99">
        <v>16175</v>
      </c>
      <c r="K23" s="99">
        <v>4140</v>
      </c>
      <c r="L23" s="99">
        <v>275197</v>
      </c>
      <c r="M23" s="105">
        <v>0.5517000000000001</v>
      </c>
      <c r="N23" s="105">
        <v>1.49636</v>
      </c>
      <c r="O23" s="105">
        <v>0.7269599999999999</v>
      </c>
      <c r="P23" s="100">
        <v>2.77502</v>
      </c>
      <c r="Q23" s="307">
        <v>1.09797</v>
      </c>
      <c r="R23" s="307">
        <v>0.33354</v>
      </c>
      <c r="S23" s="305">
        <v>1</v>
      </c>
      <c r="T23" s="305">
        <v>282</v>
      </c>
      <c r="U23" s="305">
        <v>0</v>
      </c>
      <c r="V23" s="100">
        <f t="shared" si="0"/>
        <v>39.566201324675134</v>
      </c>
      <c r="W23" s="185">
        <f t="shared" si="1"/>
        <v>17.156228748068006</v>
      </c>
      <c r="X23" s="186">
        <f t="shared" si="2"/>
        <v>39.566201324675134</v>
      </c>
      <c r="Y23" s="186"/>
      <c r="Z23" s="186"/>
    </row>
    <row r="24" spans="1:26" s="187" customFormat="1" ht="51" customHeight="1">
      <c r="A24" s="99">
        <v>12</v>
      </c>
      <c r="B24" s="99" t="s">
        <v>33</v>
      </c>
      <c r="C24" s="99">
        <v>50966</v>
      </c>
      <c r="D24" s="99">
        <v>30247</v>
      </c>
      <c r="E24" s="99">
        <v>2773</v>
      </c>
      <c r="F24" s="99">
        <v>17885</v>
      </c>
      <c r="G24" s="99">
        <v>50905</v>
      </c>
      <c r="H24" s="305">
        <v>14565</v>
      </c>
      <c r="I24" s="99">
        <v>9397</v>
      </c>
      <c r="J24" s="305">
        <v>14565</v>
      </c>
      <c r="K24" s="305">
        <v>6459</v>
      </c>
      <c r="L24" s="99">
        <v>329293</v>
      </c>
      <c r="M24" s="307">
        <v>1.0819299999999998</v>
      </c>
      <c r="N24" s="307">
        <v>0.025840000000000002</v>
      </c>
      <c r="O24" s="307">
        <v>0.9416</v>
      </c>
      <c r="P24" s="100">
        <v>2.0493699999999997</v>
      </c>
      <c r="Q24" s="306">
        <v>0.89194</v>
      </c>
      <c r="R24" s="306">
        <v>0.67092</v>
      </c>
      <c r="S24" s="99">
        <v>7</v>
      </c>
      <c r="T24" s="99">
        <v>566</v>
      </c>
      <c r="U24" s="99">
        <v>16</v>
      </c>
      <c r="V24" s="100">
        <f t="shared" si="0"/>
        <v>43.522643544113556</v>
      </c>
      <c r="W24" s="185">
        <f t="shared" si="1"/>
        <v>14.070511500171643</v>
      </c>
      <c r="X24" s="186">
        <f t="shared" si="2"/>
        <v>43.522643544113556</v>
      </c>
      <c r="Y24" s="186"/>
      <c r="Z24" s="186"/>
    </row>
    <row r="25" spans="1:26" s="312" customFormat="1" ht="53.25" customHeight="1">
      <c r="A25" s="99">
        <v>13</v>
      </c>
      <c r="B25" s="99" t="s">
        <v>34</v>
      </c>
      <c r="C25" s="99">
        <v>59179</v>
      </c>
      <c r="D25" s="99">
        <v>35305</v>
      </c>
      <c r="E25" s="99">
        <v>4024</v>
      </c>
      <c r="F25" s="99">
        <v>19850</v>
      </c>
      <c r="G25" s="99">
        <v>59179</v>
      </c>
      <c r="H25" s="99">
        <v>28694</v>
      </c>
      <c r="I25" s="99">
        <v>9385</v>
      </c>
      <c r="J25" s="99">
        <v>28694</v>
      </c>
      <c r="K25" s="99">
        <v>8193</v>
      </c>
      <c r="L25" s="99">
        <v>330448</v>
      </c>
      <c r="M25" s="100">
        <v>2.76809</v>
      </c>
      <c r="N25" s="100">
        <v>0.18725999999999998</v>
      </c>
      <c r="O25" s="100">
        <v>1.29017</v>
      </c>
      <c r="P25" s="100">
        <v>4.24552</v>
      </c>
      <c r="Q25" s="306">
        <v>1.4839</v>
      </c>
      <c r="R25" s="306">
        <v>0.40857</v>
      </c>
      <c r="S25" s="305">
        <v>19</v>
      </c>
      <c r="T25" s="305">
        <v>402</v>
      </c>
      <c r="U25" s="305">
        <v>11</v>
      </c>
      <c r="V25" s="100">
        <f t="shared" si="0"/>
        <v>34.95213778288643</v>
      </c>
      <c r="W25" s="185">
        <f t="shared" si="1"/>
        <v>14.795845821426083</v>
      </c>
      <c r="X25" s="186">
        <f t="shared" si="2"/>
        <v>34.95213778288643</v>
      </c>
      <c r="Y25" s="186"/>
      <c r="Z25" s="186"/>
    </row>
    <row r="26" spans="1:24" s="188" customFormat="1" ht="47.25" customHeight="1">
      <c r="A26" s="99"/>
      <c r="B26" s="99" t="s">
        <v>35</v>
      </c>
      <c r="C26" s="99">
        <f aca="true" t="shared" si="3" ref="C26:P26">SUM(C13:C25)</f>
        <v>646906</v>
      </c>
      <c r="D26" s="99">
        <f t="shared" si="3"/>
        <v>273646</v>
      </c>
      <c r="E26" s="99">
        <f t="shared" si="3"/>
        <v>154538</v>
      </c>
      <c r="F26" s="99">
        <f t="shared" si="3"/>
        <v>216679</v>
      </c>
      <c r="G26" s="99">
        <f t="shared" si="3"/>
        <v>645145</v>
      </c>
      <c r="H26" s="99">
        <f t="shared" si="3"/>
        <v>291726</v>
      </c>
      <c r="I26" s="99">
        <f t="shared" si="3"/>
        <v>198509</v>
      </c>
      <c r="J26" s="99">
        <f t="shared" si="3"/>
        <v>284871</v>
      </c>
      <c r="K26" s="99">
        <f t="shared" si="3"/>
        <v>115595</v>
      </c>
      <c r="L26" s="99">
        <f t="shared" si="3"/>
        <v>7565153</v>
      </c>
      <c r="M26" s="100">
        <f t="shared" si="3"/>
        <v>23.071307400000002</v>
      </c>
      <c r="N26" s="100">
        <f t="shared" si="3"/>
        <v>15.373387300000003</v>
      </c>
      <c r="O26" s="100">
        <f t="shared" si="3"/>
        <v>21.052145299999996</v>
      </c>
      <c r="P26" s="100">
        <f t="shared" si="3"/>
        <v>59.530829999999995</v>
      </c>
      <c r="Q26" s="100">
        <f>SUM(Q13:Q25)</f>
        <v>21.731544299999996</v>
      </c>
      <c r="R26" s="100">
        <f>SUM(R13:R25)</f>
        <v>5.1698873</v>
      </c>
      <c r="S26" s="99">
        <f>SUM(S13:S25)</f>
        <v>336</v>
      </c>
      <c r="T26" s="99">
        <f>SUM(T13:T25)</f>
        <v>7431</v>
      </c>
      <c r="U26" s="99">
        <f>SUM(U13:U25)</f>
        <v>438</v>
      </c>
      <c r="V26" s="195">
        <f t="shared" si="0"/>
        <v>36.50468891497061</v>
      </c>
      <c r="W26" s="196">
        <f t="shared" si="1"/>
        <v>20.897469380877656</v>
      </c>
      <c r="X26" s="186">
        <f t="shared" si="2"/>
        <v>36.50468891497061</v>
      </c>
    </row>
    <row r="27" spans="1:2" s="188" customFormat="1" ht="36" customHeight="1">
      <c r="A27" s="187"/>
      <c r="B27" s="187"/>
    </row>
    <row r="28" spans="1:21" s="188" customFormat="1" ht="24.75" customHeight="1">
      <c r="A28" s="187"/>
      <c r="C28" s="197"/>
      <c r="D28" s="197"/>
      <c r="E28" s="197"/>
      <c r="F28" s="197"/>
      <c r="G28" s="197"/>
      <c r="H28" s="197"/>
      <c r="I28" s="197"/>
      <c r="J28" s="197"/>
      <c r="K28" s="197"/>
      <c r="L28" s="404"/>
      <c r="M28" s="197"/>
      <c r="N28" s="197"/>
      <c r="O28" s="197"/>
      <c r="P28" s="197"/>
      <c r="Q28" s="197"/>
      <c r="R28" s="197"/>
      <c r="S28" s="197"/>
      <c r="T28" s="197"/>
      <c r="U28" s="197"/>
    </row>
    <row r="29" spans="1:23" s="188" customFormat="1" ht="32.25" customHeight="1">
      <c r="A29" s="187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187"/>
      <c r="M29" s="186"/>
      <c r="N29" s="186"/>
      <c r="O29" s="187"/>
      <c r="P29" s="322" t="s">
        <v>120</v>
      </c>
      <c r="Q29" s="322"/>
      <c r="R29" s="322"/>
      <c r="S29" s="322"/>
      <c r="T29" s="322"/>
      <c r="U29" s="322"/>
      <c r="V29" s="187"/>
      <c r="W29" s="187"/>
    </row>
    <row r="30" spans="1:23" ht="26.25" customHeight="1">
      <c r="A30" s="171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6"/>
      <c r="O30" s="316"/>
      <c r="P30" s="319" t="s">
        <v>121</v>
      </c>
      <c r="Q30" s="319"/>
      <c r="R30" s="319"/>
      <c r="S30" s="319"/>
      <c r="T30" s="319"/>
      <c r="U30" s="319"/>
      <c r="V30" s="171"/>
      <c r="W30" s="171"/>
    </row>
    <row r="31" spans="2:21" ht="26.25" customHeight="1"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3" t="s">
        <v>106</v>
      </c>
      <c r="Q31" s="313"/>
      <c r="R31" s="313"/>
      <c r="S31" s="313"/>
      <c r="T31" s="313"/>
      <c r="U31" s="313"/>
    </row>
    <row r="32" spans="2:21" ht="24" customHeight="1"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4" t="s">
        <v>122</v>
      </c>
      <c r="Q32" s="314"/>
      <c r="R32" s="314"/>
      <c r="S32" s="314"/>
      <c r="T32" s="314"/>
      <c r="U32" s="314"/>
    </row>
    <row r="33" spans="2:21" ht="19.5" customHeight="1"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3" t="s">
        <v>108</v>
      </c>
      <c r="Q33" s="313"/>
      <c r="R33" s="313"/>
      <c r="S33" s="313"/>
      <c r="T33" s="313"/>
      <c r="U33" s="313"/>
    </row>
    <row r="34" spans="2:20" ht="21" customHeight="1"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R34" s="190"/>
      <c r="S34" s="173"/>
      <c r="T34" s="173"/>
    </row>
    <row r="35" spans="2:21" ht="33" customHeight="1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1:23" s="177" customFormat="1" ht="46.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3"/>
      <c r="R36" s="192"/>
      <c r="S36" s="192"/>
      <c r="T36" s="192"/>
      <c r="U36" s="192"/>
      <c r="V36" s="192"/>
      <c r="W36" s="192"/>
    </row>
    <row r="37" ht="99.75" customHeight="1">
      <c r="F37" s="194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9:U29"/>
    <mergeCell ref="T8:T9"/>
    <mergeCell ref="U8:U9"/>
    <mergeCell ref="P30:U30"/>
    <mergeCell ref="M8:Q8"/>
    <mergeCell ref="K8:K9"/>
    <mergeCell ref="C10:C11"/>
    <mergeCell ref="H10:H11"/>
    <mergeCell ref="J8:J9"/>
    <mergeCell ref="I8:I9"/>
    <mergeCell ref="B29:K29"/>
    <mergeCell ref="P31:U31"/>
    <mergeCell ref="P32:U32"/>
    <mergeCell ref="P33:U33"/>
    <mergeCell ref="S3:T3"/>
    <mergeCell ref="B30:O33"/>
    <mergeCell ref="B34:P34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47"/>
  <sheetViews>
    <sheetView tabSelected="1" view="pageBreakPreview" zoomScale="70" zoomScaleNormal="55" zoomScaleSheetLayoutView="70" zoomScalePageLayoutView="0" workbookViewId="0" topLeftCell="A1">
      <pane ySplit="8" topLeftCell="A21" activePane="bottomLeft" state="frozen"/>
      <selection pane="topLeft" activeCell="A1" sqref="A1"/>
      <selection pane="bottomLeft" activeCell="S24" sqref="S24"/>
    </sheetView>
  </sheetViews>
  <sheetFormatPr defaultColWidth="9.140625" defaultRowHeight="15"/>
  <cols>
    <col min="1" max="1" width="5.57421875" style="215" bestFit="1" customWidth="1"/>
    <col min="2" max="2" width="21.7109375" style="285" bestFit="1" customWidth="1"/>
    <col min="3" max="3" width="20.421875" style="219" bestFit="1" customWidth="1"/>
    <col min="4" max="4" width="8.7109375" style="219" customWidth="1"/>
    <col min="5" max="5" width="8.00390625" style="219" customWidth="1"/>
    <col min="6" max="6" width="20.00390625" style="219" customWidth="1"/>
    <col min="7" max="7" width="13.7109375" style="219" bestFit="1" customWidth="1"/>
    <col min="8" max="8" width="12.140625" style="219" customWidth="1"/>
    <col min="9" max="9" width="18.28125" style="219" customWidth="1"/>
    <col min="10" max="10" width="15.421875" style="219" customWidth="1"/>
    <col min="11" max="11" width="17.57421875" style="219" customWidth="1"/>
    <col min="12" max="12" width="19.140625" style="219" bestFit="1" customWidth="1"/>
    <col min="13" max="13" width="14.8515625" style="219" bestFit="1" customWidth="1"/>
    <col min="14" max="14" width="22.00390625" style="219" bestFit="1" customWidth="1"/>
    <col min="15" max="15" width="17.421875" style="219" bestFit="1" customWidth="1"/>
    <col min="16" max="16" width="16.421875" style="219" customWidth="1"/>
    <col min="17" max="17" width="0.85546875" style="215" customWidth="1"/>
    <col min="18" max="18" width="2.7109375" style="216" customWidth="1"/>
    <col min="19" max="22" width="13.28125" style="216" customWidth="1"/>
    <col min="23" max="23" width="11.421875" style="215" bestFit="1" customWidth="1"/>
    <col min="24" max="25" width="12.140625" style="215" customWidth="1"/>
    <col min="26" max="26" width="15.140625" style="215" customWidth="1"/>
    <col min="27" max="27" width="17.8515625" style="215" customWidth="1"/>
    <col min="28" max="28" width="9.140625" style="216" customWidth="1"/>
    <col min="29" max="29" width="40.421875" style="216" customWidth="1"/>
    <col min="30" max="31" width="9.140625" style="216" customWidth="1"/>
    <col min="32" max="32" width="9.8515625" style="216" bestFit="1" customWidth="1"/>
    <col min="33" max="177" width="9.140625" style="216" customWidth="1"/>
    <col min="178" max="16384" width="9.140625" style="215" customWidth="1"/>
  </cols>
  <sheetData>
    <row r="1" spans="1:16" ht="31.5" customHeight="1">
      <c r="A1" s="334" t="s">
        <v>123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15" customHeight="1">
      <c r="A2" s="217"/>
      <c r="B2" s="217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P2" s="218"/>
    </row>
    <row r="3" spans="1:23" ht="17.25" customHeight="1">
      <c r="A3" s="335" t="s">
        <v>36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W3" s="220"/>
    </row>
    <row r="4" spans="1:16" ht="20.25" customHeight="1">
      <c r="A4" s="336" t="s">
        <v>151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</row>
    <row r="5" spans="1:177" s="222" customFormat="1" ht="45.75" customHeight="1">
      <c r="A5" s="221"/>
      <c r="C5" s="223"/>
      <c r="D5" s="223"/>
      <c r="E5" s="223"/>
      <c r="F5" s="223"/>
      <c r="G5" s="223"/>
      <c r="H5" s="223"/>
      <c r="I5" s="223"/>
      <c r="J5" s="223"/>
      <c r="P5" s="224"/>
      <c r="Q5" s="225"/>
      <c r="R5" s="226"/>
      <c r="S5" s="226"/>
      <c r="T5" s="226"/>
      <c r="U5" s="226"/>
      <c r="V5" s="226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  <c r="CS5" s="227"/>
      <c r="CT5" s="227"/>
      <c r="CU5" s="227"/>
      <c r="CV5" s="227"/>
      <c r="CW5" s="227"/>
      <c r="CX5" s="227"/>
      <c r="CY5" s="227"/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227"/>
      <c r="DP5" s="227"/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227"/>
      <c r="EF5" s="227"/>
      <c r="EG5" s="227"/>
      <c r="EH5" s="227"/>
      <c r="EI5" s="227"/>
      <c r="EJ5" s="227"/>
      <c r="EK5" s="227"/>
      <c r="EL5" s="227"/>
      <c r="EM5" s="227"/>
      <c r="EN5" s="227"/>
      <c r="EO5" s="227"/>
      <c r="EP5" s="227"/>
      <c r="EQ5" s="227"/>
      <c r="ER5" s="227"/>
      <c r="ES5" s="227"/>
      <c r="ET5" s="227"/>
      <c r="EU5" s="227"/>
      <c r="EV5" s="227"/>
      <c r="EW5" s="227"/>
      <c r="EX5" s="227"/>
      <c r="EY5" s="227"/>
      <c r="EZ5" s="227"/>
      <c r="FA5" s="227"/>
      <c r="FB5" s="227"/>
      <c r="FC5" s="227"/>
      <c r="FD5" s="227"/>
      <c r="FE5" s="227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</row>
    <row r="6" spans="1:177" s="109" customFormat="1" ht="88.5" customHeight="1">
      <c r="A6" s="331" t="s">
        <v>0</v>
      </c>
      <c r="B6" s="331" t="s">
        <v>38</v>
      </c>
      <c r="C6" s="331" t="s">
        <v>142</v>
      </c>
      <c r="D6" s="331" t="s">
        <v>39</v>
      </c>
      <c r="E6" s="331"/>
      <c r="F6" s="331" t="s">
        <v>100</v>
      </c>
      <c r="G6" s="331"/>
      <c r="H6" s="331" t="s">
        <v>40</v>
      </c>
      <c r="I6" s="331" t="s">
        <v>147</v>
      </c>
      <c r="J6" s="331" t="s">
        <v>48</v>
      </c>
      <c r="K6" s="331" t="s">
        <v>135</v>
      </c>
      <c r="L6" s="331"/>
      <c r="M6" s="331"/>
      <c r="N6" s="331"/>
      <c r="O6" s="331"/>
      <c r="P6" s="331"/>
      <c r="R6" s="110"/>
      <c r="S6" s="110"/>
      <c r="T6" s="110"/>
      <c r="U6" s="110"/>
      <c r="V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</row>
    <row r="7" spans="1:177" s="109" customFormat="1" ht="46.5" customHeight="1">
      <c r="A7" s="331"/>
      <c r="B7" s="331"/>
      <c r="C7" s="331"/>
      <c r="D7" s="333" t="s">
        <v>41</v>
      </c>
      <c r="E7" s="333" t="s">
        <v>42</v>
      </c>
      <c r="F7" s="332" t="s">
        <v>41</v>
      </c>
      <c r="G7" s="332" t="s">
        <v>42</v>
      </c>
      <c r="H7" s="331"/>
      <c r="I7" s="331"/>
      <c r="J7" s="331"/>
      <c r="K7" s="331" t="s">
        <v>43</v>
      </c>
      <c r="L7" s="331" t="s">
        <v>44</v>
      </c>
      <c r="M7" s="331" t="s">
        <v>45</v>
      </c>
      <c r="N7" s="331" t="s">
        <v>49</v>
      </c>
      <c r="O7" s="331"/>
      <c r="P7" s="337" t="s">
        <v>148</v>
      </c>
      <c r="Q7" s="110"/>
      <c r="R7" s="110"/>
      <c r="S7" s="110"/>
      <c r="T7" s="110"/>
      <c r="U7" s="110"/>
      <c r="V7" s="110"/>
      <c r="W7" s="110"/>
      <c r="X7" s="110"/>
      <c r="Y7" s="110"/>
      <c r="Z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</row>
    <row r="8" spans="1:177" s="109" customFormat="1" ht="37.5" customHeight="1">
      <c r="A8" s="331"/>
      <c r="B8" s="331"/>
      <c r="C8" s="331"/>
      <c r="D8" s="333"/>
      <c r="E8" s="333"/>
      <c r="F8" s="332"/>
      <c r="G8" s="332"/>
      <c r="H8" s="331"/>
      <c r="I8" s="331"/>
      <c r="J8" s="331"/>
      <c r="K8" s="331"/>
      <c r="L8" s="331"/>
      <c r="M8" s="331"/>
      <c r="N8" s="102" t="s">
        <v>50</v>
      </c>
      <c r="O8" s="102" t="s">
        <v>51</v>
      </c>
      <c r="P8" s="337"/>
      <c r="Q8" s="110"/>
      <c r="R8" s="110"/>
      <c r="S8" s="110">
        <v>4.32</v>
      </c>
      <c r="T8" s="110"/>
      <c r="U8" s="110"/>
      <c r="V8" s="110"/>
      <c r="W8" s="110"/>
      <c r="X8" s="110" t="s">
        <v>137</v>
      </c>
      <c r="Y8" s="110"/>
      <c r="Z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</row>
    <row r="9" spans="1:177" s="222" customFormat="1" ht="18" customHeight="1">
      <c r="A9" s="111"/>
      <c r="B9" s="112">
        <v>1</v>
      </c>
      <c r="C9" s="103">
        <v>2</v>
      </c>
      <c r="D9" s="103">
        <v>3</v>
      </c>
      <c r="E9" s="103">
        <v>4</v>
      </c>
      <c r="F9" s="103">
        <v>5</v>
      </c>
      <c r="G9" s="103">
        <v>6</v>
      </c>
      <c r="H9" s="103">
        <v>7</v>
      </c>
      <c r="I9" s="103">
        <v>8</v>
      </c>
      <c r="J9" s="103">
        <v>9</v>
      </c>
      <c r="K9" s="103">
        <v>10</v>
      </c>
      <c r="L9" s="103">
        <v>11</v>
      </c>
      <c r="M9" s="103">
        <v>12</v>
      </c>
      <c r="N9" s="103">
        <v>13</v>
      </c>
      <c r="O9" s="103">
        <v>14</v>
      </c>
      <c r="P9" s="103">
        <v>15</v>
      </c>
      <c r="Q9" s="110"/>
      <c r="R9" s="110"/>
      <c r="S9" s="110"/>
      <c r="T9" s="110"/>
      <c r="U9" s="110"/>
      <c r="V9" s="110"/>
      <c r="W9" s="102"/>
      <c r="X9" s="110"/>
      <c r="Y9" s="110"/>
      <c r="Z9" s="110" t="s">
        <v>136</v>
      </c>
      <c r="AA9" s="222" t="s">
        <v>146</v>
      </c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</row>
    <row r="10" spans="1:178" s="228" customFormat="1" ht="30.75" customHeight="1">
      <c r="A10" s="113">
        <v>1</v>
      </c>
      <c r="B10" s="113" t="s">
        <v>22</v>
      </c>
      <c r="C10" s="104">
        <v>20.02</v>
      </c>
      <c r="D10" s="113"/>
      <c r="E10" s="113"/>
      <c r="F10" s="104">
        <v>888.50218</v>
      </c>
      <c r="H10" s="229">
        <v>3.7076700000000007</v>
      </c>
      <c r="I10" s="101">
        <f>SUM(C10:H10)</f>
        <v>912.2298499999999</v>
      </c>
      <c r="J10" s="101">
        <v>642.6</v>
      </c>
      <c r="K10" s="101">
        <v>501.39</v>
      </c>
      <c r="L10" s="101">
        <v>38.09440000000001</v>
      </c>
      <c r="M10" s="101">
        <v>243.95024999999998</v>
      </c>
      <c r="N10" s="101">
        <v>32.81361</v>
      </c>
      <c r="O10" s="101">
        <v>8.097539999999997</v>
      </c>
      <c r="P10" s="101">
        <f>SUM(K10:O10)</f>
        <v>824.3458</v>
      </c>
      <c r="Q10" s="230"/>
      <c r="R10" s="230"/>
      <c r="S10" s="230">
        <f>P10*100/10987</f>
        <v>7.502919814326022</v>
      </c>
      <c r="T10" s="230">
        <f>S10*S8</f>
        <v>32.41261359788842</v>
      </c>
      <c r="U10" s="230">
        <f>K10+T10</f>
        <v>533.8026135978884</v>
      </c>
      <c r="V10" s="230">
        <v>395.24941786474926</v>
      </c>
      <c r="W10" s="231">
        <v>11</v>
      </c>
      <c r="X10" s="232">
        <f aca="true" t="shared" si="0" ref="X10:X23">P10/W10</f>
        <v>74.94052727272728</v>
      </c>
      <c r="Y10" s="233">
        <f>P10/11</f>
        <v>74.94052727272728</v>
      </c>
      <c r="Z10" s="233">
        <f aca="true" t="shared" si="1" ref="Z10:Z22">(K10/P10)*100</f>
        <v>60.8227760728568</v>
      </c>
      <c r="AA10" s="234">
        <f>K10/'Part-I'!P13</f>
        <v>158.59294193560632</v>
      </c>
      <c r="AB10" s="235"/>
      <c r="AC10" s="235" t="s">
        <v>22</v>
      </c>
      <c r="AD10" s="235">
        <v>506.45038</v>
      </c>
      <c r="AE10" s="235"/>
      <c r="AF10" s="236">
        <f>K10+M10+L10</f>
        <v>783.4346499999999</v>
      </c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5"/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  <c r="FR10" s="235"/>
      <c r="FS10" s="235"/>
      <c r="FT10" s="235"/>
      <c r="FU10" s="235"/>
      <c r="FV10" s="237"/>
    </row>
    <row r="11" spans="1:30" s="238" customFormat="1" ht="30.75" customHeight="1">
      <c r="A11" s="113">
        <v>2</v>
      </c>
      <c r="B11" s="113" t="s">
        <v>23</v>
      </c>
      <c r="C11" s="104">
        <v>52.31</v>
      </c>
      <c r="D11" s="113"/>
      <c r="E11" s="113"/>
      <c r="F11" s="104">
        <v>1492.18281</v>
      </c>
      <c r="H11" s="296">
        <v>4.92056</v>
      </c>
      <c r="I11" s="101">
        <f aca="true" t="shared" si="2" ref="I11:I21">SUM(C11:H11)</f>
        <v>1549.41337</v>
      </c>
      <c r="J11" s="101">
        <v>736.975</v>
      </c>
      <c r="K11" s="101">
        <v>846.66</v>
      </c>
      <c r="L11" s="101">
        <v>62.266290000000005</v>
      </c>
      <c r="M11" s="101">
        <v>550.45545</v>
      </c>
      <c r="N11" s="101">
        <v>26.88131</v>
      </c>
      <c r="O11" s="101">
        <v>12.31357</v>
      </c>
      <c r="P11" s="101">
        <f aca="true" t="shared" si="3" ref="P11:P22">SUM(K11:O11)</f>
        <v>1498.57662</v>
      </c>
      <c r="Q11" s="239"/>
      <c r="R11" s="239"/>
      <c r="S11" s="230">
        <f aca="true" t="shared" si="4" ref="S11:S22">P11*100/10987</f>
        <v>13.639543278419952</v>
      </c>
      <c r="T11" s="230">
        <f aca="true" t="shared" si="5" ref="T11:T22">S11*S9</f>
        <v>0</v>
      </c>
      <c r="U11" s="230">
        <f aca="true" t="shared" si="6" ref="U11:U22">K11+T11</f>
        <v>846.66</v>
      </c>
      <c r="V11" s="230">
        <v>556.0749999999999</v>
      </c>
      <c r="W11" s="240">
        <v>11</v>
      </c>
      <c r="X11" s="241">
        <f t="shared" si="0"/>
        <v>136.2342381818182</v>
      </c>
      <c r="Y11" s="242">
        <f aca="true" t="shared" si="7" ref="Y11:Y23">P11/11</f>
        <v>136.2342381818182</v>
      </c>
      <c r="Z11" s="242">
        <f t="shared" si="1"/>
        <v>56.497611713707364</v>
      </c>
      <c r="AA11" s="243">
        <f>K11/'Part-I'!P14</f>
        <v>176.27732667083072</v>
      </c>
      <c r="AC11" s="238" t="s">
        <v>23</v>
      </c>
      <c r="AD11" s="238">
        <v>704.60117</v>
      </c>
    </row>
    <row r="12" spans="1:30" s="235" customFormat="1" ht="30.75" customHeight="1">
      <c r="A12" s="113">
        <v>3</v>
      </c>
      <c r="B12" s="113" t="s">
        <v>24</v>
      </c>
      <c r="C12" s="104">
        <v>101.11</v>
      </c>
      <c r="D12" s="113"/>
      <c r="E12" s="113"/>
      <c r="F12" s="104">
        <v>2194.82684</v>
      </c>
      <c r="H12" s="229">
        <v>4.932213</v>
      </c>
      <c r="I12" s="101">
        <f t="shared" si="2"/>
        <v>2300.8690530000003</v>
      </c>
      <c r="J12" s="101">
        <v>1918.749661212</v>
      </c>
      <c r="K12" s="101">
        <v>1360.88</v>
      </c>
      <c r="L12" s="101">
        <v>72.26156</v>
      </c>
      <c r="M12" s="101">
        <v>522.53652</v>
      </c>
      <c r="N12" s="101">
        <v>26.71019</v>
      </c>
      <c r="O12" s="101">
        <v>17.96101</v>
      </c>
      <c r="P12" s="101">
        <f t="shared" si="3"/>
        <v>2000.3492800000001</v>
      </c>
      <c r="Q12" s="230"/>
      <c r="R12" s="230"/>
      <c r="S12" s="230">
        <f t="shared" si="4"/>
        <v>18.206510239373806</v>
      </c>
      <c r="T12" s="230">
        <f t="shared" si="5"/>
        <v>136.60198642472733</v>
      </c>
      <c r="U12" s="230">
        <f t="shared" si="6"/>
        <v>1497.4819864247274</v>
      </c>
      <c r="V12" s="230">
        <v>946.3318055174382</v>
      </c>
      <c r="W12" s="231">
        <v>16</v>
      </c>
      <c r="X12" s="232">
        <f t="shared" si="0"/>
        <v>125.02183000000001</v>
      </c>
      <c r="Y12" s="233">
        <f t="shared" si="7"/>
        <v>181.84993454545454</v>
      </c>
      <c r="Z12" s="233">
        <f t="shared" si="1"/>
        <v>68.03211887076041</v>
      </c>
      <c r="AA12" s="234">
        <f>K12/'Part-I'!P15</f>
        <v>164.90677886001924</v>
      </c>
      <c r="AC12" s="235" t="s">
        <v>24</v>
      </c>
      <c r="AD12" s="235">
        <v>831.20444</v>
      </c>
    </row>
    <row r="13" spans="1:30" s="244" customFormat="1" ht="30.75" customHeight="1">
      <c r="A13" s="113">
        <v>4</v>
      </c>
      <c r="B13" s="113" t="s">
        <v>25</v>
      </c>
      <c r="C13" s="104">
        <v>40.2</v>
      </c>
      <c r="D13" s="113"/>
      <c r="E13" s="113"/>
      <c r="F13" s="104">
        <v>2377.05945</v>
      </c>
      <c r="H13" s="229">
        <v>7.015579999999999</v>
      </c>
      <c r="I13" s="101">
        <f t="shared" si="2"/>
        <v>2424.27503</v>
      </c>
      <c r="J13" s="101">
        <v>1414.5625</v>
      </c>
      <c r="K13" s="101">
        <v>1593.27</v>
      </c>
      <c r="L13" s="101">
        <v>120.20894</v>
      </c>
      <c r="M13" s="101">
        <v>544.33831</v>
      </c>
      <c r="N13" s="101">
        <v>20.4038</v>
      </c>
      <c r="O13" s="101">
        <v>16.548969999999997</v>
      </c>
      <c r="P13" s="101">
        <f t="shared" si="3"/>
        <v>2294.77002</v>
      </c>
      <c r="Q13" s="245"/>
      <c r="R13" s="230"/>
      <c r="S13" s="230">
        <f t="shared" si="4"/>
        <v>20.88622936197324</v>
      </c>
      <c r="T13" s="230">
        <f t="shared" si="5"/>
        <v>284.87862930563955</v>
      </c>
      <c r="U13" s="230">
        <f t="shared" si="6"/>
        <v>1878.1486293056396</v>
      </c>
      <c r="V13" s="230">
        <v>1457.4699398054706</v>
      </c>
      <c r="W13" s="246">
        <v>12</v>
      </c>
      <c r="X13" s="232">
        <f t="shared" si="0"/>
        <v>191.23083499999998</v>
      </c>
      <c r="Y13" s="233">
        <f t="shared" si="7"/>
        <v>208.61545636363635</v>
      </c>
      <c r="Z13" s="233">
        <f t="shared" si="1"/>
        <v>69.43048698187194</v>
      </c>
      <c r="AA13" s="234">
        <f>K13/'Part-I'!P16</f>
        <v>500.1930738295488</v>
      </c>
      <c r="AC13" s="244" t="s">
        <v>25</v>
      </c>
      <c r="AD13" s="244">
        <v>1512.13425</v>
      </c>
    </row>
    <row r="14" spans="1:30" s="235" customFormat="1" ht="30.75" customHeight="1">
      <c r="A14" s="113">
        <v>5</v>
      </c>
      <c r="B14" s="113" t="s">
        <v>26</v>
      </c>
      <c r="C14" s="104">
        <v>58.34</v>
      </c>
      <c r="D14" s="113"/>
      <c r="E14" s="113"/>
      <c r="F14" s="104">
        <v>1970.35431</v>
      </c>
      <c r="H14" s="229">
        <v>5.098309999999999</v>
      </c>
      <c r="I14" s="101">
        <f t="shared" si="2"/>
        <v>2033.79262</v>
      </c>
      <c r="J14" s="101">
        <v>1266.3625</v>
      </c>
      <c r="K14" s="101">
        <v>1279.75</v>
      </c>
      <c r="L14" s="101">
        <v>125.07203000000001</v>
      </c>
      <c r="M14" s="101">
        <v>477.02506000000005</v>
      </c>
      <c r="N14" s="101">
        <v>28.592979999999997</v>
      </c>
      <c r="O14" s="101">
        <v>21.59038</v>
      </c>
      <c r="P14" s="101">
        <f t="shared" si="3"/>
        <v>1932.0304500000002</v>
      </c>
      <c r="Q14" s="230"/>
      <c r="R14" s="230"/>
      <c r="S14" s="230">
        <f t="shared" si="4"/>
        <v>17.58469509420224</v>
      </c>
      <c r="T14" s="230">
        <f t="shared" si="5"/>
        <v>320.1559312888594</v>
      </c>
      <c r="U14" s="230">
        <f t="shared" si="6"/>
        <v>1599.9059312888594</v>
      </c>
      <c r="V14" s="230">
        <v>1030.059143208207</v>
      </c>
      <c r="W14" s="231">
        <v>11</v>
      </c>
      <c r="X14" s="232">
        <f t="shared" si="0"/>
        <v>175.63913181818182</v>
      </c>
      <c r="Y14" s="233">
        <f t="shared" si="7"/>
        <v>175.63913181818182</v>
      </c>
      <c r="Z14" s="233">
        <f t="shared" si="1"/>
        <v>66.2386040551276</v>
      </c>
      <c r="AA14" s="234">
        <f>K14/'Part-I'!P17</f>
        <v>192.0888944925761</v>
      </c>
      <c r="AC14" s="235" t="s">
        <v>26</v>
      </c>
      <c r="AD14" s="235">
        <v>866.67451</v>
      </c>
    </row>
    <row r="15" spans="1:30" s="238" customFormat="1" ht="30.75" customHeight="1">
      <c r="A15" s="113">
        <v>6</v>
      </c>
      <c r="B15" s="113" t="s">
        <v>27</v>
      </c>
      <c r="C15" s="104">
        <v>30.75</v>
      </c>
      <c r="D15" s="113"/>
      <c r="E15" s="113"/>
      <c r="F15" s="104">
        <v>1667.3832</v>
      </c>
      <c r="H15" s="229">
        <v>4.9215</v>
      </c>
      <c r="I15" s="101">
        <f t="shared" si="2"/>
        <v>1703.0547</v>
      </c>
      <c r="J15" s="238">
        <v>2086.8</v>
      </c>
      <c r="K15" s="101">
        <v>890.86</v>
      </c>
      <c r="L15" s="101">
        <v>83.63532999999998</v>
      </c>
      <c r="M15" s="101">
        <v>566.08412</v>
      </c>
      <c r="N15" s="101">
        <v>24.93418</v>
      </c>
      <c r="O15" s="101">
        <v>48.170190000000005</v>
      </c>
      <c r="P15" s="101">
        <f t="shared" si="3"/>
        <v>1613.68382</v>
      </c>
      <c r="Q15" s="239"/>
      <c r="R15" s="239"/>
      <c r="S15" s="230">
        <f t="shared" si="4"/>
        <v>14.687210521525438</v>
      </c>
      <c r="T15" s="230">
        <f t="shared" si="5"/>
        <v>306.7604476401669</v>
      </c>
      <c r="U15" s="230">
        <f t="shared" si="6"/>
        <v>1197.620447640167</v>
      </c>
      <c r="V15" s="230">
        <v>853.5047831584388</v>
      </c>
      <c r="W15" s="240">
        <v>11</v>
      </c>
      <c r="X15" s="242">
        <f t="shared" si="0"/>
        <v>146.6985290909091</v>
      </c>
      <c r="Y15" s="242">
        <f t="shared" si="7"/>
        <v>146.6985290909091</v>
      </c>
      <c r="Z15" s="242">
        <f t="shared" si="1"/>
        <v>55.20660174928197</v>
      </c>
      <c r="AA15" s="243">
        <f>K15/'Part-I'!P18</f>
        <v>72.36768888213747</v>
      </c>
      <c r="AC15" s="238" t="s">
        <v>27</v>
      </c>
      <c r="AD15" s="238">
        <v>952.48678</v>
      </c>
    </row>
    <row r="16" spans="1:30" s="244" customFormat="1" ht="30.75" customHeight="1">
      <c r="A16" s="113">
        <v>7</v>
      </c>
      <c r="B16" s="113" t="s">
        <v>125</v>
      </c>
      <c r="C16" s="104">
        <v>8.22</v>
      </c>
      <c r="D16" s="113"/>
      <c r="E16" s="113"/>
      <c r="F16" s="104">
        <v>919.01315</v>
      </c>
      <c r="H16" s="229">
        <v>4.37836</v>
      </c>
      <c r="I16" s="101">
        <f t="shared" si="2"/>
        <v>931.6115100000001</v>
      </c>
      <c r="J16" s="297">
        <v>1385.4875</v>
      </c>
      <c r="K16" s="298">
        <v>655.056</v>
      </c>
      <c r="L16" s="247">
        <v>53.54035</v>
      </c>
      <c r="M16" s="247">
        <v>101.91702000000001</v>
      </c>
      <c r="N16" s="247">
        <v>10.25199</v>
      </c>
      <c r="O16" s="247">
        <v>20.451349999999998</v>
      </c>
      <c r="P16" s="101">
        <f t="shared" si="3"/>
        <v>841.21671</v>
      </c>
      <c r="Q16" s="245"/>
      <c r="R16" s="230"/>
      <c r="S16" s="230">
        <f t="shared" si="4"/>
        <v>7.656473195594794</v>
      </c>
      <c r="T16" s="230">
        <f t="shared" si="5"/>
        <v>134.63674664146671</v>
      </c>
      <c r="U16" s="230">
        <f t="shared" si="6"/>
        <v>789.6927466414668</v>
      </c>
      <c r="V16" s="230">
        <v>527.0330525286279</v>
      </c>
      <c r="W16" s="246">
        <v>10</v>
      </c>
      <c r="X16" s="233">
        <f t="shared" si="0"/>
        <v>84.121671</v>
      </c>
      <c r="Y16" s="248">
        <f t="shared" si="7"/>
        <v>76.47424636363637</v>
      </c>
      <c r="Z16" s="233" t="e">
        <f>(#REF!/P16)*100</f>
        <v>#REF!</v>
      </c>
      <c r="AA16" s="234" t="e">
        <f>#REF!/'Part-I'!#REF!</f>
        <v>#REF!</v>
      </c>
      <c r="AC16" s="244" t="s">
        <v>28</v>
      </c>
      <c r="AD16" s="244">
        <v>466.60143</v>
      </c>
    </row>
    <row r="17" spans="1:30" s="235" customFormat="1" ht="30.75" customHeight="1">
      <c r="A17" s="113">
        <v>8</v>
      </c>
      <c r="B17" s="113" t="s">
        <v>29</v>
      </c>
      <c r="C17" s="104">
        <v>48.13</v>
      </c>
      <c r="D17" s="113"/>
      <c r="E17" s="113"/>
      <c r="F17" s="104">
        <v>1076.6099</v>
      </c>
      <c r="H17" s="229">
        <v>3.05742</v>
      </c>
      <c r="I17" s="101">
        <f t="shared" si="2"/>
        <v>1127.7973200000001</v>
      </c>
      <c r="J17" s="101">
        <v>1061.525</v>
      </c>
      <c r="K17" s="101">
        <v>633.24</v>
      </c>
      <c r="L17" s="101">
        <v>55.13495000000001</v>
      </c>
      <c r="M17" s="101">
        <v>274.07647000000003</v>
      </c>
      <c r="N17" s="101">
        <v>20.335919999999998</v>
      </c>
      <c r="O17" s="101">
        <v>12.75228</v>
      </c>
      <c r="P17" s="101">
        <f t="shared" si="3"/>
        <v>995.5396200000001</v>
      </c>
      <c r="Q17" s="230"/>
      <c r="R17" s="230"/>
      <c r="S17" s="230">
        <f t="shared" si="4"/>
        <v>9.061068717575317</v>
      </c>
      <c r="T17" s="230">
        <f t="shared" si="5"/>
        <v>133.0818238050372</v>
      </c>
      <c r="U17" s="230">
        <f t="shared" si="6"/>
        <v>766.3218238050372</v>
      </c>
      <c r="V17" s="230">
        <v>394.9048928760487</v>
      </c>
      <c r="W17" s="231">
        <v>12</v>
      </c>
      <c r="X17" s="233">
        <f t="shared" si="0"/>
        <v>82.96163500000002</v>
      </c>
      <c r="Y17" s="233">
        <f t="shared" si="7"/>
        <v>90.50360181818183</v>
      </c>
      <c r="Z17" s="233">
        <f t="shared" si="1"/>
        <v>63.60771457794918</v>
      </c>
      <c r="AA17" s="234">
        <f>K17/'Part-I'!P20</f>
        <v>175.59904275172832</v>
      </c>
      <c r="AC17" s="235" t="s">
        <v>149</v>
      </c>
      <c r="AD17" s="235">
        <v>402.7251</v>
      </c>
    </row>
    <row r="18" spans="1:30" s="235" customFormat="1" ht="30.75" customHeight="1">
      <c r="A18" s="158">
        <v>9</v>
      </c>
      <c r="B18" s="158" t="s">
        <v>30</v>
      </c>
      <c r="C18" s="159">
        <v>17.93</v>
      </c>
      <c r="D18" s="158"/>
      <c r="E18" s="158"/>
      <c r="F18" s="159">
        <v>643.85471</v>
      </c>
      <c r="H18" s="229">
        <v>2.04854</v>
      </c>
      <c r="I18" s="101">
        <f t="shared" si="2"/>
        <v>663.8332499999999</v>
      </c>
      <c r="J18" s="299">
        <v>502.4625</v>
      </c>
      <c r="K18" s="300">
        <v>486.31</v>
      </c>
      <c r="L18" s="300">
        <v>32.28387</v>
      </c>
      <c r="M18" s="300">
        <v>72.03922</v>
      </c>
      <c r="N18" s="300">
        <v>11.4455</v>
      </c>
      <c r="O18" s="300">
        <v>9.00838</v>
      </c>
      <c r="P18" s="101">
        <f t="shared" si="3"/>
        <v>611.0869700000001</v>
      </c>
      <c r="Q18" s="230"/>
      <c r="R18" s="230"/>
      <c r="S18" s="230">
        <f t="shared" si="4"/>
        <v>5.561909256393921</v>
      </c>
      <c r="T18" s="230">
        <f t="shared" si="5"/>
        <v>42.584609137910626</v>
      </c>
      <c r="U18" s="230">
        <f t="shared" si="6"/>
        <v>528.8946091379106</v>
      </c>
      <c r="V18" s="230">
        <v>329.2062499634278</v>
      </c>
      <c r="W18" s="231">
        <v>5</v>
      </c>
      <c r="X18" s="233">
        <f t="shared" si="0"/>
        <v>122.21739400000001</v>
      </c>
      <c r="Y18" s="249">
        <f t="shared" si="7"/>
        <v>55.55336090909091</v>
      </c>
      <c r="Z18" s="233" t="e">
        <f>(#REF!/P18)*100</f>
        <v>#REF!</v>
      </c>
      <c r="AA18" s="234" t="e">
        <f>#REF!/'Part-I'!P21</f>
        <v>#REF!</v>
      </c>
      <c r="AC18" s="235" t="s">
        <v>30</v>
      </c>
      <c r="AD18" s="235">
        <v>230.73651</v>
      </c>
    </row>
    <row r="19" spans="1:178" s="247" customFormat="1" ht="30.75" customHeight="1">
      <c r="A19" s="113">
        <v>10</v>
      </c>
      <c r="B19" s="113" t="s">
        <v>31</v>
      </c>
      <c r="C19" s="104">
        <v>81.67</v>
      </c>
      <c r="D19" s="113"/>
      <c r="E19" s="113"/>
      <c r="F19" s="104">
        <v>1165.04008</v>
      </c>
      <c r="H19" s="229">
        <v>4.37287</v>
      </c>
      <c r="I19" s="101">
        <f t="shared" si="2"/>
        <v>1251.08295</v>
      </c>
      <c r="J19" s="101">
        <v>2189.314204</v>
      </c>
      <c r="K19" s="101">
        <v>589.45</v>
      </c>
      <c r="L19" s="101">
        <v>43.85127</v>
      </c>
      <c r="M19" s="101">
        <v>305.87569</v>
      </c>
      <c r="N19" s="101">
        <v>10.48269</v>
      </c>
      <c r="O19" s="101">
        <v>7.613340000000001</v>
      </c>
      <c r="P19" s="101">
        <f t="shared" si="3"/>
        <v>957.27299</v>
      </c>
      <c r="Q19" s="239"/>
      <c r="R19" s="239"/>
      <c r="S19" s="230">
        <f t="shared" si="4"/>
        <v>8.712778647492492</v>
      </c>
      <c r="T19" s="230">
        <f t="shared" si="5"/>
        <v>78.9470860459524</v>
      </c>
      <c r="U19" s="230">
        <f t="shared" si="6"/>
        <v>668.3970860459524</v>
      </c>
      <c r="V19" s="230">
        <v>421.40043101378836</v>
      </c>
      <c r="W19" s="240">
        <v>16</v>
      </c>
      <c r="X19" s="242">
        <f t="shared" si="0"/>
        <v>59.829561875</v>
      </c>
      <c r="Y19" s="229">
        <f t="shared" si="7"/>
        <v>87.02481727272728</v>
      </c>
      <c r="Z19" s="242">
        <f t="shared" si="1"/>
        <v>61.575956509542806</v>
      </c>
      <c r="AA19" s="243">
        <f>K19/'Part-I'!P22</f>
        <v>222.25950951705832</v>
      </c>
      <c r="AB19" s="238"/>
      <c r="AC19" s="238" t="s">
        <v>31</v>
      </c>
      <c r="AD19" s="238">
        <v>677.9344</v>
      </c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50"/>
    </row>
    <row r="20" spans="1:30" s="244" customFormat="1" ht="30.75" customHeight="1">
      <c r="A20" s="160">
        <v>11</v>
      </c>
      <c r="B20" s="160" t="s">
        <v>32</v>
      </c>
      <c r="C20" s="161">
        <v>18.16</v>
      </c>
      <c r="D20" s="160"/>
      <c r="E20" s="160"/>
      <c r="F20" s="161">
        <v>551.17151</v>
      </c>
      <c r="H20" s="229">
        <v>1.62418</v>
      </c>
      <c r="I20" s="101">
        <f t="shared" si="2"/>
        <v>570.95569</v>
      </c>
      <c r="J20" s="301">
        <v>550.3875</v>
      </c>
      <c r="K20" s="300">
        <v>402.455</v>
      </c>
      <c r="L20" s="300">
        <v>31.52937</v>
      </c>
      <c r="M20" s="300">
        <v>111.64475</v>
      </c>
      <c r="N20" s="300">
        <v>2.47005</v>
      </c>
      <c r="O20" s="300">
        <v>3.80687</v>
      </c>
      <c r="P20" s="101">
        <f t="shared" si="3"/>
        <v>551.9060400000001</v>
      </c>
      <c r="Q20" s="245"/>
      <c r="R20" s="230"/>
      <c r="S20" s="230">
        <f t="shared" si="4"/>
        <v>5.023264221352508</v>
      </c>
      <c r="T20" s="230">
        <f t="shared" si="5"/>
        <v>27.93893977005292</v>
      </c>
      <c r="U20" s="230">
        <f t="shared" si="6"/>
        <v>430.3939397700529</v>
      </c>
      <c r="V20" s="230">
        <v>284.0693844620202</v>
      </c>
      <c r="W20" s="246">
        <v>5</v>
      </c>
      <c r="X20" s="233">
        <f t="shared" si="0"/>
        <v>110.38120800000002</v>
      </c>
      <c r="Y20" s="248">
        <f t="shared" si="7"/>
        <v>50.17327636363637</v>
      </c>
      <c r="Z20" s="233" t="e">
        <f>(#REF!/P20)*100</f>
        <v>#REF!</v>
      </c>
      <c r="AA20" s="234" t="e">
        <f>#REF!/'Part-I'!P23</f>
        <v>#REF!</v>
      </c>
      <c r="AC20" s="244" t="s">
        <v>32</v>
      </c>
      <c r="AD20" s="244">
        <v>243.09251</v>
      </c>
    </row>
    <row r="21" spans="1:30" s="235" customFormat="1" ht="30.75" customHeight="1">
      <c r="A21" s="113">
        <v>12</v>
      </c>
      <c r="B21" s="113" t="s">
        <v>33</v>
      </c>
      <c r="C21" s="104">
        <v>15.1</v>
      </c>
      <c r="D21" s="113"/>
      <c r="E21" s="113"/>
      <c r="F21" s="104">
        <v>519.57431</v>
      </c>
      <c r="H21" s="229">
        <v>3.4131599999999995</v>
      </c>
      <c r="I21" s="101">
        <f t="shared" si="2"/>
        <v>538.0874699999999</v>
      </c>
      <c r="J21" s="101">
        <v>661.825</v>
      </c>
      <c r="K21" s="101">
        <v>253.51</v>
      </c>
      <c r="L21" s="101">
        <v>27.37287</v>
      </c>
      <c r="M21" s="101">
        <v>114.2774</v>
      </c>
      <c r="N21" s="101">
        <v>23.528840000000002</v>
      </c>
      <c r="O21" s="302">
        <v>4.44908</v>
      </c>
      <c r="P21" s="101">
        <f t="shared" si="3"/>
        <v>423.13818999999995</v>
      </c>
      <c r="Q21" s="230"/>
      <c r="R21" s="230"/>
      <c r="S21" s="230">
        <f t="shared" si="4"/>
        <v>3.8512623100027303</v>
      </c>
      <c r="T21" s="230">
        <f t="shared" si="5"/>
        <v>33.555196020484395</v>
      </c>
      <c r="U21" s="230">
        <f t="shared" si="6"/>
        <v>287.0651960204844</v>
      </c>
      <c r="V21" s="230">
        <v>217.44448577735142</v>
      </c>
      <c r="W21" s="231">
        <v>12</v>
      </c>
      <c r="X21" s="233">
        <f t="shared" si="0"/>
        <v>35.26151583333333</v>
      </c>
      <c r="Y21" s="233">
        <f t="shared" si="7"/>
        <v>38.467108181818176</v>
      </c>
      <c r="Z21" s="233">
        <f t="shared" si="1"/>
        <v>59.91186945333391</v>
      </c>
      <c r="AA21" s="234">
        <f>K21/'Part-I'!P24</f>
        <v>123.70143019562111</v>
      </c>
      <c r="AC21" s="235" t="s">
        <v>33</v>
      </c>
      <c r="AD21" s="235">
        <v>282.2</v>
      </c>
    </row>
    <row r="22" spans="1:30" s="235" customFormat="1" ht="30.75" customHeight="1">
      <c r="A22" s="113">
        <v>13</v>
      </c>
      <c r="B22" s="113" t="s">
        <v>34</v>
      </c>
      <c r="C22" s="104">
        <v>73.46</v>
      </c>
      <c r="D22" s="113"/>
      <c r="E22" s="113"/>
      <c r="F22" s="104">
        <v>1260.60125</v>
      </c>
      <c r="H22" s="229">
        <v>4.31045</v>
      </c>
      <c r="I22" s="101">
        <f>SUM(C22:H22)</f>
        <v>1338.3717</v>
      </c>
      <c r="J22" s="101">
        <v>653.225</v>
      </c>
      <c r="K22" s="101">
        <v>845.27</v>
      </c>
      <c r="L22" s="101">
        <v>68.7586</v>
      </c>
      <c r="M22" s="101">
        <v>305.02066</v>
      </c>
      <c r="N22" s="101">
        <v>24.273039999999998</v>
      </c>
      <c r="O22" s="302">
        <v>12.152470000000001</v>
      </c>
      <c r="P22" s="101">
        <f t="shared" si="3"/>
        <v>1255.47477</v>
      </c>
      <c r="Q22" s="230"/>
      <c r="R22" s="230"/>
      <c r="S22" s="230">
        <f t="shared" si="4"/>
        <v>11.42691153181032</v>
      </c>
      <c r="T22" s="230">
        <f t="shared" si="5"/>
        <v>57.40039585830316</v>
      </c>
      <c r="U22" s="230">
        <f t="shared" si="6"/>
        <v>902.6703958583031</v>
      </c>
      <c r="V22" s="230">
        <v>551.7063168440602</v>
      </c>
      <c r="W22" s="231">
        <v>14</v>
      </c>
      <c r="X22" s="233">
        <f t="shared" si="0"/>
        <v>89.67676928571429</v>
      </c>
      <c r="Y22" s="233">
        <f t="shared" si="7"/>
        <v>114.13407000000001</v>
      </c>
      <c r="Z22" s="233">
        <f t="shared" si="1"/>
        <v>67.32672134860982</v>
      </c>
      <c r="AA22" s="234">
        <f>K22/'Part-I'!P25</f>
        <v>199.09693041135125</v>
      </c>
      <c r="AC22" s="235" t="s">
        <v>34</v>
      </c>
      <c r="AD22" s="235">
        <v>641.19701</v>
      </c>
    </row>
    <row r="23" spans="1:26" s="254" customFormat="1" ht="30.75" customHeight="1">
      <c r="A23" s="99"/>
      <c r="B23" s="99" t="s">
        <v>5</v>
      </c>
      <c r="C23" s="105">
        <f>SUM(C10:C22)</f>
        <v>565.4000000000001</v>
      </c>
      <c r="D23" s="99">
        <f>SUM(D10:D22)</f>
        <v>0</v>
      </c>
      <c r="E23" s="99">
        <f>SUM(E10:E22)</f>
        <v>0</v>
      </c>
      <c r="F23" s="100">
        <f>SUM(F10:F22)</f>
        <v>16726.173700000003</v>
      </c>
      <c r="G23" s="114"/>
      <c r="H23" s="100">
        <f aca="true" t="shared" si="8" ref="H23:P23">SUM(H10:H22)</f>
        <v>53.800813000000005</v>
      </c>
      <c r="I23" s="101">
        <f>SUM(C23:H23)</f>
        <v>17345.374513000006</v>
      </c>
      <c r="J23" s="100">
        <f>SUM(J10:J22)</f>
        <v>15070.276365212001</v>
      </c>
      <c r="K23" s="100">
        <f>SUM(K10:K22)</f>
        <v>10338.101</v>
      </c>
      <c r="L23" s="100">
        <f t="shared" si="8"/>
        <v>814.00983</v>
      </c>
      <c r="M23" s="100">
        <f t="shared" si="8"/>
        <v>4189.240919999999</v>
      </c>
      <c r="N23" s="100">
        <f t="shared" si="8"/>
        <v>263.12409999999994</v>
      </c>
      <c r="O23" s="100">
        <f t="shared" si="8"/>
        <v>194.91543</v>
      </c>
      <c r="P23" s="100">
        <f t="shared" si="8"/>
        <v>15799.39128</v>
      </c>
      <c r="Q23" s="251"/>
      <c r="R23" s="230"/>
      <c r="S23" s="230">
        <f>P23/146</f>
        <v>108.21500876712328</v>
      </c>
      <c r="T23" s="230"/>
      <c r="U23" s="230"/>
      <c r="V23" s="230"/>
      <c r="W23" s="252">
        <f>SUM(W10:W22)</f>
        <v>146</v>
      </c>
      <c r="X23" s="233">
        <f t="shared" si="0"/>
        <v>108.21500876712328</v>
      </c>
      <c r="Y23" s="253">
        <f t="shared" si="7"/>
        <v>1436.3082981818181</v>
      </c>
      <c r="Z23" s="253">
        <f>(K23/P23)*100</f>
        <v>65.4335399180012</v>
      </c>
    </row>
    <row r="24" spans="1:26" s="235" customFormat="1" ht="30.75" customHeight="1">
      <c r="A24" s="113">
        <v>1</v>
      </c>
      <c r="B24" s="113" t="s">
        <v>46</v>
      </c>
      <c r="C24" s="101">
        <v>120.21</v>
      </c>
      <c r="D24" s="101"/>
      <c r="E24" s="101"/>
      <c r="F24" s="101">
        <v>298.72747</v>
      </c>
      <c r="G24" s="303"/>
      <c r="H24" s="101"/>
      <c r="I24" s="101">
        <f>SUM(C24:H24)</f>
        <v>418.93746999999996</v>
      </c>
      <c r="J24" s="101"/>
      <c r="K24" s="101">
        <f>151.55+7</f>
        <v>158.55</v>
      </c>
      <c r="L24" s="101">
        <v>0</v>
      </c>
      <c r="M24" s="101">
        <v>15.26</v>
      </c>
      <c r="N24" s="101">
        <v>0</v>
      </c>
      <c r="O24" s="101">
        <v>0</v>
      </c>
      <c r="P24" s="101">
        <f>SUM(K24:O24)</f>
        <v>173.81</v>
      </c>
      <c r="W24" s="304">
        <f>P27-O27-N27</f>
        <v>15515.16175</v>
      </c>
      <c r="X24" s="228"/>
      <c r="Y24" s="228">
        <f>P23/146</f>
        <v>108.21500876712328</v>
      </c>
      <c r="Z24" s="228"/>
    </row>
    <row r="25" spans="1:26" s="235" customFormat="1" ht="30.75" customHeight="1">
      <c r="A25" s="113">
        <v>2</v>
      </c>
      <c r="B25" s="113" t="s">
        <v>99</v>
      </c>
      <c r="C25" s="101">
        <v>670.31</v>
      </c>
      <c r="D25" s="101"/>
      <c r="E25" s="101"/>
      <c r="F25" s="101">
        <v>15632</v>
      </c>
      <c r="G25" s="101">
        <v>1000</v>
      </c>
      <c r="H25" s="101">
        <v>47.19</v>
      </c>
      <c r="I25" s="101">
        <f>SUM(C25:H25)</f>
        <v>17349.499999999996</v>
      </c>
      <c r="J25" s="101"/>
      <c r="K25" s="101">
        <v>0</v>
      </c>
      <c r="L25" s="101">
        <v>0</v>
      </c>
      <c r="M25" s="101">
        <v>0</v>
      </c>
      <c r="N25" s="101">
        <v>51.601490999999996</v>
      </c>
      <c r="O25" s="101">
        <v>5.733499000000002</v>
      </c>
      <c r="P25" s="101">
        <f>N25+O25</f>
        <v>57.33499</v>
      </c>
      <c r="W25" s="228"/>
      <c r="X25" s="228"/>
      <c r="Y25" s="228"/>
      <c r="Z25" s="228"/>
    </row>
    <row r="26" spans="1:26" s="244" customFormat="1" ht="30.75" customHeight="1">
      <c r="A26" s="113"/>
      <c r="B26" s="113" t="s">
        <v>5</v>
      </c>
      <c r="C26" s="101">
        <f>SUM(C24:C25)</f>
        <v>790.52</v>
      </c>
      <c r="D26" s="101">
        <f aca="true" t="shared" si="9" ref="D26:O26">SUM(D24:D25)</f>
        <v>0</v>
      </c>
      <c r="E26" s="101">
        <f>SUM(E24:E25)</f>
        <v>0</v>
      </c>
      <c r="F26" s="101">
        <f>F25</f>
        <v>15632</v>
      </c>
      <c r="G26" s="101">
        <f>SUM(G24:G25)</f>
        <v>1000</v>
      </c>
      <c r="H26" s="101">
        <f>SUM(H25:H25)</f>
        <v>47.19</v>
      </c>
      <c r="I26" s="101">
        <f>SUM(I24:I25)</f>
        <v>17768.437469999997</v>
      </c>
      <c r="J26" s="101"/>
      <c r="K26" s="101">
        <f t="shared" si="9"/>
        <v>158.55</v>
      </c>
      <c r="L26" s="101">
        <f t="shared" si="9"/>
        <v>0</v>
      </c>
      <c r="M26" s="101">
        <f t="shared" si="9"/>
        <v>15.26</v>
      </c>
      <c r="N26" s="101">
        <f t="shared" si="9"/>
        <v>51.601490999999996</v>
      </c>
      <c r="O26" s="101">
        <f t="shared" si="9"/>
        <v>5.733499000000002</v>
      </c>
      <c r="P26" s="101">
        <f>SUM(K26:O26)</f>
        <v>231.14499</v>
      </c>
      <c r="R26" s="255"/>
      <c r="S26" s="255"/>
      <c r="T26" s="255"/>
      <c r="U26" s="255"/>
      <c r="V26" s="255"/>
      <c r="W26" s="256"/>
      <c r="X26" s="256"/>
      <c r="Y26" s="256"/>
      <c r="Z26" s="256"/>
    </row>
    <row r="27" spans="1:26" s="254" customFormat="1" ht="30.75" customHeight="1">
      <c r="A27" s="99"/>
      <c r="B27" s="99" t="s">
        <v>47</v>
      </c>
      <c r="C27" s="105">
        <f aca="true" t="shared" si="10" ref="C27:O27">C23+C26</f>
        <v>1355.92</v>
      </c>
      <c r="D27" s="99">
        <f t="shared" si="10"/>
        <v>0</v>
      </c>
      <c r="E27" s="99">
        <f>E26</f>
        <v>0</v>
      </c>
      <c r="F27" s="100">
        <f>F26</f>
        <v>15632</v>
      </c>
      <c r="G27" s="100">
        <f>G23+G26</f>
        <v>1000</v>
      </c>
      <c r="H27" s="100">
        <f t="shared" si="10"/>
        <v>100.990813</v>
      </c>
      <c r="I27" s="100">
        <f>SUM(C27:H27)</f>
        <v>18088.910813</v>
      </c>
      <c r="J27" s="100">
        <f>J23</f>
        <v>15070.276365212001</v>
      </c>
      <c r="K27" s="100">
        <f t="shared" si="10"/>
        <v>10496.651</v>
      </c>
      <c r="L27" s="100">
        <f t="shared" si="10"/>
        <v>814.00983</v>
      </c>
      <c r="M27" s="100">
        <f t="shared" si="10"/>
        <v>4204.5009199999995</v>
      </c>
      <c r="N27" s="100">
        <f t="shared" si="10"/>
        <v>314.72559099999995</v>
      </c>
      <c r="O27" s="100">
        <f t="shared" si="10"/>
        <v>200.64892899999998</v>
      </c>
      <c r="P27" s="100">
        <f>P23+P26</f>
        <v>16030.53627</v>
      </c>
      <c r="S27" s="257"/>
      <c r="W27" s="258"/>
      <c r="X27" s="258"/>
      <c r="Y27" s="258"/>
      <c r="Z27" s="258"/>
    </row>
    <row r="28" spans="1:177" s="261" customFormat="1" ht="33" customHeight="1">
      <c r="A28" s="259"/>
      <c r="B28" s="339"/>
      <c r="C28" s="339"/>
      <c r="D28" s="339"/>
      <c r="E28" s="339"/>
      <c r="F28" s="339"/>
      <c r="G28" s="339"/>
      <c r="H28" s="339"/>
      <c r="I28" s="339"/>
      <c r="J28" s="339"/>
      <c r="K28" s="260"/>
      <c r="O28" s="262"/>
      <c r="P28" s="263"/>
      <c r="R28" s="264"/>
      <c r="S28" s="265">
        <f>173.81-151.55</f>
        <v>22.25999999999999</v>
      </c>
      <c r="T28" s="264"/>
      <c r="U28" s="264"/>
      <c r="V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264"/>
      <c r="AU28" s="264"/>
      <c r="AV28" s="264"/>
      <c r="AW28" s="264"/>
      <c r="AX28" s="264"/>
      <c r="AY28" s="264"/>
      <c r="AZ28" s="264"/>
      <c r="BA28" s="264"/>
      <c r="BB28" s="264"/>
      <c r="BC28" s="264"/>
      <c r="BD28" s="264"/>
      <c r="BE28" s="264"/>
      <c r="BF28" s="264"/>
      <c r="BG28" s="264"/>
      <c r="BH28" s="264"/>
      <c r="BI28" s="264"/>
      <c r="BJ28" s="264"/>
      <c r="BK28" s="264"/>
      <c r="BL28" s="264"/>
      <c r="BM28" s="264"/>
      <c r="BN28" s="264"/>
      <c r="BO28" s="264"/>
      <c r="BP28" s="264"/>
      <c r="BQ28" s="264"/>
      <c r="BR28" s="264"/>
      <c r="BS28" s="264"/>
      <c r="BT28" s="264"/>
      <c r="BU28" s="264"/>
      <c r="BV28" s="264"/>
      <c r="BW28" s="264"/>
      <c r="BX28" s="264"/>
      <c r="BY28" s="264"/>
      <c r="BZ28" s="264"/>
      <c r="CA28" s="264"/>
      <c r="CB28" s="264"/>
      <c r="CC28" s="264"/>
      <c r="CD28" s="264"/>
      <c r="CE28" s="264"/>
      <c r="CF28" s="264"/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/>
      <c r="CX28" s="264"/>
      <c r="CY28" s="264"/>
      <c r="CZ28" s="264"/>
      <c r="DA28" s="264"/>
      <c r="DB28" s="264"/>
      <c r="DC28" s="264"/>
      <c r="DD28" s="264"/>
      <c r="DE28" s="264"/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4"/>
      <c r="DQ28" s="264"/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/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64"/>
      <c r="EU28" s="264"/>
      <c r="EV28" s="264"/>
      <c r="EW28" s="264"/>
      <c r="EX28" s="264"/>
      <c r="EY28" s="264"/>
      <c r="EZ28" s="264"/>
      <c r="FA28" s="264"/>
      <c r="FB28" s="264"/>
      <c r="FC28" s="264"/>
      <c r="FD28" s="264"/>
      <c r="FE28" s="264"/>
      <c r="FF28" s="264"/>
      <c r="FG28" s="264"/>
      <c r="FH28" s="264"/>
      <c r="FI28" s="264"/>
      <c r="FJ28" s="264"/>
      <c r="FK28" s="264"/>
      <c r="FL28" s="264"/>
      <c r="FM28" s="264"/>
      <c r="FN28" s="264"/>
      <c r="FO28" s="264"/>
      <c r="FP28" s="264"/>
      <c r="FQ28" s="264"/>
      <c r="FR28" s="264"/>
      <c r="FS28" s="264"/>
      <c r="FT28" s="264"/>
      <c r="FU28" s="264"/>
    </row>
    <row r="29" spans="1:177" s="222" customFormat="1" ht="41.25" customHeight="1">
      <c r="A29" s="259"/>
      <c r="B29" s="339"/>
      <c r="C29" s="339"/>
      <c r="D29" s="339"/>
      <c r="E29" s="339"/>
      <c r="F29" s="339"/>
      <c r="G29" s="339"/>
      <c r="H29" s="339"/>
      <c r="I29" s="339"/>
      <c r="J29" s="339"/>
      <c r="K29" s="266"/>
      <c r="L29" s="266"/>
      <c r="M29" s="338" t="s">
        <v>120</v>
      </c>
      <c r="N29" s="338"/>
      <c r="O29" s="338"/>
      <c r="P29" s="267"/>
      <c r="Q29" s="268"/>
      <c r="R29" s="268"/>
      <c r="S29" s="269">
        <f>S28-7</f>
        <v>15.259999999999991</v>
      </c>
      <c r="T29" s="268"/>
      <c r="U29" s="268"/>
      <c r="V29" s="268"/>
      <c r="W29" s="270"/>
      <c r="Y29" s="271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  <c r="EZ29" s="227"/>
      <c r="FA29" s="227"/>
      <c r="FB29" s="227"/>
      <c r="FC29" s="227"/>
      <c r="FD29" s="227"/>
      <c r="FE29" s="227"/>
      <c r="FF29" s="227"/>
      <c r="FG29" s="227"/>
      <c r="FH29" s="227"/>
      <c r="FI29" s="227"/>
      <c r="FJ29" s="227"/>
      <c r="FK29" s="227"/>
      <c r="FL29" s="227"/>
      <c r="FM29" s="227"/>
      <c r="FN29" s="227"/>
      <c r="FO29" s="227"/>
      <c r="FP29" s="227"/>
      <c r="FQ29" s="227"/>
      <c r="FR29" s="227"/>
      <c r="FS29" s="227"/>
      <c r="FT29" s="227"/>
      <c r="FU29" s="227"/>
    </row>
    <row r="30" spans="2:177" s="222" customFormat="1" ht="17.25" customHeight="1">
      <c r="B30" s="339"/>
      <c r="C30" s="339"/>
      <c r="D30" s="339"/>
      <c r="E30" s="339"/>
      <c r="F30" s="339"/>
      <c r="G30" s="339"/>
      <c r="H30" s="339"/>
      <c r="I30" s="339"/>
      <c r="J30" s="339"/>
      <c r="K30" s="272"/>
      <c r="L30" s="223"/>
      <c r="M30" s="109"/>
      <c r="N30" s="273" t="s">
        <v>121</v>
      </c>
      <c r="O30" s="109"/>
      <c r="P30" s="115"/>
      <c r="Q30" s="227"/>
      <c r="R30" s="227"/>
      <c r="S30" s="227"/>
      <c r="T30" s="227"/>
      <c r="U30" s="227"/>
      <c r="V30" s="227"/>
      <c r="W30" s="227"/>
      <c r="X30" s="227"/>
      <c r="Y30" s="227"/>
      <c r="Z30" s="274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/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7"/>
      <c r="DE30" s="227"/>
      <c r="DF30" s="227"/>
      <c r="DG30" s="227"/>
      <c r="DH30" s="227"/>
      <c r="DI30" s="227"/>
      <c r="DJ30" s="227"/>
      <c r="DK30" s="227"/>
      <c r="DL30" s="227"/>
      <c r="DM30" s="227"/>
      <c r="DN30" s="227"/>
      <c r="DO30" s="227"/>
      <c r="DP30" s="227"/>
      <c r="DQ30" s="227"/>
      <c r="DR30" s="227"/>
      <c r="DS30" s="227"/>
      <c r="DT30" s="227"/>
      <c r="DU30" s="227"/>
      <c r="DV30" s="227"/>
      <c r="DW30" s="227"/>
      <c r="DX30" s="227"/>
      <c r="DY30" s="227"/>
      <c r="DZ30" s="227"/>
      <c r="EA30" s="227"/>
      <c r="EB30" s="227"/>
      <c r="EC30" s="227"/>
      <c r="ED30" s="227"/>
      <c r="EE30" s="227"/>
      <c r="EF30" s="227"/>
      <c r="EG30" s="227"/>
      <c r="EH30" s="227"/>
      <c r="EI30" s="227"/>
      <c r="EJ30" s="227"/>
      <c r="EK30" s="227"/>
      <c r="EL30" s="227"/>
      <c r="EM30" s="227"/>
      <c r="EN30" s="227"/>
      <c r="EO30" s="227"/>
      <c r="EP30" s="227"/>
      <c r="EQ30" s="227"/>
      <c r="ER30" s="227"/>
      <c r="ES30" s="227"/>
      <c r="ET30" s="227"/>
      <c r="EU30" s="227"/>
      <c r="EV30" s="227"/>
      <c r="EW30" s="227"/>
      <c r="EX30" s="227"/>
      <c r="EY30" s="227"/>
      <c r="EZ30" s="227"/>
      <c r="FA30" s="227"/>
      <c r="FB30" s="227"/>
      <c r="FC30" s="227"/>
      <c r="FD30" s="227"/>
      <c r="FE30" s="227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7"/>
      <c r="FR30" s="227"/>
      <c r="FS30" s="227"/>
      <c r="FT30" s="227"/>
      <c r="FU30" s="227"/>
    </row>
    <row r="31" spans="2:177" s="222" customFormat="1" ht="12.75" customHeight="1">
      <c r="B31" s="339"/>
      <c r="C31" s="339"/>
      <c r="D31" s="339"/>
      <c r="E31" s="339"/>
      <c r="F31" s="339"/>
      <c r="G31" s="339"/>
      <c r="H31" s="339"/>
      <c r="I31" s="339"/>
      <c r="J31" s="339"/>
      <c r="K31" s="272"/>
      <c r="L31" s="223"/>
      <c r="M31" s="223"/>
      <c r="N31" s="273" t="s">
        <v>106</v>
      </c>
      <c r="O31" s="223"/>
      <c r="P31" s="115"/>
      <c r="Q31" s="227"/>
      <c r="R31" s="227"/>
      <c r="S31" s="227"/>
      <c r="T31" s="227"/>
      <c r="U31" s="227"/>
      <c r="V31" s="227"/>
      <c r="W31" s="227"/>
      <c r="X31" s="275"/>
      <c r="Y31" s="227"/>
      <c r="Z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7"/>
      <c r="DS31" s="227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7"/>
      <c r="EF31" s="227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7"/>
      <c r="ES31" s="227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7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</row>
    <row r="32" spans="2:177" s="222" customFormat="1" ht="12.75" customHeight="1">
      <c r="B32" s="339"/>
      <c r="C32" s="339"/>
      <c r="D32" s="339"/>
      <c r="E32" s="339"/>
      <c r="F32" s="339"/>
      <c r="G32" s="339"/>
      <c r="H32" s="339"/>
      <c r="I32" s="339"/>
      <c r="J32" s="339"/>
      <c r="K32" s="223"/>
      <c r="L32" s="266"/>
      <c r="M32" s="276"/>
      <c r="N32" s="277" t="s">
        <v>122</v>
      </c>
      <c r="O32" s="109"/>
      <c r="P32" s="115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  <c r="DO32" s="227"/>
      <c r="DP32" s="227"/>
      <c r="DQ32" s="227"/>
      <c r="DR32" s="227"/>
      <c r="DS32" s="227"/>
      <c r="DT32" s="227"/>
      <c r="DU32" s="227"/>
      <c r="DV32" s="227"/>
      <c r="DW32" s="227"/>
      <c r="DX32" s="227"/>
      <c r="DY32" s="227"/>
      <c r="DZ32" s="227"/>
      <c r="EA32" s="227"/>
      <c r="EB32" s="227"/>
      <c r="EC32" s="227"/>
      <c r="ED32" s="227"/>
      <c r="EE32" s="227"/>
      <c r="EF32" s="227"/>
      <c r="EG32" s="227"/>
      <c r="EH32" s="227"/>
      <c r="EI32" s="227"/>
      <c r="EJ32" s="227"/>
      <c r="EK32" s="227"/>
      <c r="EL32" s="227"/>
      <c r="EM32" s="227"/>
      <c r="EN32" s="227"/>
      <c r="EO32" s="227"/>
      <c r="EP32" s="227"/>
      <c r="EQ32" s="227"/>
      <c r="ER32" s="227"/>
      <c r="ES32" s="227"/>
      <c r="ET32" s="227"/>
      <c r="EU32" s="227"/>
      <c r="EV32" s="227"/>
      <c r="EW32" s="227"/>
      <c r="EX32" s="227"/>
      <c r="EY32" s="227"/>
      <c r="EZ32" s="227"/>
      <c r="FA32" s="227"/>
      <c r="FB32" s="227"/>
      <c r="FC32" s="227"/>
      <c r="FD32" s="227"/>
      <c r="FE32" s="227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</row>
    <row r="33" spans="2:26" ht="16.5">
      <c r="B33" s="278"/>
      <c r="C33" s="106"/>
      <c r="D33" s="279"/>
      <c r="E33" s="106"/>
      <c r="F33" s="280"/>
      <c r="G33" s="280"/>
      <c r="H33" s="281"/>
      <c r="M33" s="276"/>
      <c r="N33" s="273" t="s">
        <v>108</v>
      </c>
      <c r="O33" s="109"/>
      <c r="P33" s="115" t="s">
        <v>138</v>
      </c>
      <c r="Q33" s="216"/>
      <c r="W33" s="216"/>
      <c r="X33" s="216"/>
      <c r="Y33" s="216"/>
      <c r="Z33" s="216"/>
    </row>
    <row r="34" spans="2:26" ht="36.75" customHeight="1">
      <c r="B34" s="278"/>
      <c r="C34" s="106"/>
      <c r="D34" s="279"/>
      <c r="E34" s="106"/>
      <c r="P34" s="115"/>
      <c r="Q34" s="216"/>
      <c r="W34" s="216"/>
      <c r="X34" s="216"/>
      <c r="Y34" s="216"/>
      <c r="Z34" s="216"/>
    </row>
    <row r="35" spans="2:26" ht="76.5" customHeight="1">
      <c r="B35" s="278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216"/>
      <c r="W35" s="216"/>
      <c r="X35" s="216"/>
      <c r="Y35" s="216"/>
      <c r="Z35" s="216"/>
    </row>
    <row r="36" spans="2:26" ht="16.5">
      <c r="B36" s="278"/>
      <c r="C36" s="106"/>
      <c r="D36" s="279"/>
      <c r="E36" s="106"/>
      <c r="P36" s="115"/>
      <c r="Q36" s="216"/>
      <c r="W36" s="216"/>
      <c r="X36" s="216"/>
      <c r="Y36" s="216"/>
      <c r="Z36" s="216"/>
    </row>
    <row r="37" spans="2:26" ht="16.5">
      <c r="B37" s="278"/>
      <c r="C37" s="106"/>
      <c r="D37" s="279"/>
      <c r="E37" s="106"/>
      <c r="P37" s="115"/>
      <c r="Q37" s="216"/>
      <c r="W37" s="216"/>
      <c r="X37" s="216"/>
      <c r="Y37" s="216"/>
      <c r="Z37" s="216"/>
    </row>
    <row r="38" spans="2:26" ht="16.5">
      <c r="B38" s="278"/>
      <c r="C38" s="106"/>
      <c r="D38" s="279"/>
      <c r="E38" s="106"/>
      <c r="P38" s="115"/>
      <c r="Q38" s="216"/>
      <c r="W38" s="216"/>
      <c r="X38" s="216"/>
      <c r="Y38" s="216"/>
      <c r="Z38" s="216"/>
    </row>
    <row r="39" spans="2:26" ht="16.5">
      <c r="B39" s="278"/>
      <c r="C39" s="106"/>
      <c r="D39" s="279"/>
      <c r="E39" s="106"/>
      <c r="P39" s="279"/>
      <c r="Q39" s="216"/>
      <c r="W39" s="216"/>
      <c r="X39" s="216"/>
      <c r="Y39" s="216"/>
      <c r="Z39" s="216"/>
    </row>
    <row r="40" spans="2:5" ht="16.5">
      <c r="B40" s="278"/>
      <c r="C40" s="106"/>
      <c r="D40" s="279"/>
      <c r="E40" s="106"/>
    </row>
    <row r="41" spans="2:5" ht="16.5">
      <c r="B41" s="278"/>
      <c r="C41" s="106"/>
      <c r="D41" s="279"/>
      <c r="E41" s="106"/>
    </row>
    <row r="42" spans="2:5" ht="16.5">
      <c r="B42" s="278"/>
      <c r="C42" s="106"/>
      <c r="D42" s="279"/>
      <c r="E42" s="106"/>
    </row>
    <row r="43" spans="2:5" ht="16.5">
      <c r="B43" s="278"/>
      <c r="C43" s="106"/>
      <c r="D43" s="279"/>
      <c r="E43" s="106"/>
    </row>
    <row r="44" spans="2:5" ht="16.5">
      <c r="B44" s="278"/>
      <c r="C44" s="106"/>
      <c r="D44" s="279"/>
      <c r="E44" s="106"/>
    </row>
    <row r="45" spans="2:6" ht="16.5">
      <c r="B45" s="278"/>
      <c r="C45" s="282"/>
      <c r="D45" s="282"/>
      <c r="E45" s="283"/>
      <c r="F45" s="284"/>
    </row>
    <row r="46" spans="2:5" ht="16.5">
      <c r="B46" s="278"/>
      <c r="C46" s="279"/>
      <c r="D46" s="279"/>
      <c r="E46" s="106"/>
    </row>
    <row r="47" spans="2:5" ht="16.5">
      <c r="B47" s="278"/>
      <c r="C47" s="279"/>
      <c r="D47" s="279"/>
      <c r="E47" s="106"/>
    </row>
  </sheetData>
  <sheetProtection/>
  <mergeCells count="23">
    <mergeCell ref="M29:O29"/>
    <mergeCell ref="B28:J32"/>
    <mergeCell ref="E7:E8"/>
    <mergeCell ref="B6:B8"/>
    <mergeCell ref="C6:C8"/>
    <mergeCell ref="K7:K8"/>
    <mergeCell ref="D6:E6"/>
    <mergeCell ref="A1:P1"/>
    <mergeCell ref="A3:P3"/>
    <mergeCell ref="A4:P4"/>
    <mergeCell ref="H6:H8"/>
    <mergeCell ref="F6:G6"/>
    <mergeCell ref="A6:A8"/>
    <mergeCell ref="I6:I8"/>
    <mergeCell ref="L7:L8"/>
    <mergeCell ref="M7:M8"/>
    <mergeCell ref="P7:P8"/>
    <mergeCell ref="K6:P6"/>
    <mergeCell ref="J6:J8"/>
    <mergeCell ref="F7:F8"/>
    <mergeCell ref="G7:G8"/>
    <mergeCell ref="N7:O7"/>
    <mergeCell ref="D7:D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7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E1">
      <selection activeCell="BL17" sqref="BL17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16384" width="9.140625" style="8" customWidth="1"/>
  </cols>
  <sheetData>
    <row r="1" spans="1:62" s="4" customFormat="1" ht="16.5">
      <c r="A1" s="2"/>
      <c r="B1" s="3"/>
      <c r="Q1" s="346" t="s">
        <v>101</v>
      </c>
      <c r="R1" s="346"/>
      <c r="S1" s="346"/>
      <c r="T1" s="346"/>
      <c r="AJ1" s="346" t="s">
        <v>101</v>
      </c>
      <c r="AK1" s="346"/>
      <c r="AL1" s="346"/>
      <c r="AM1" s="5"/>
      <c r="AN1" s="5"/>
      <c r="BH1" s="346" t="s">
        <v>101</v>
      </c>
      <c r="BI1" s="346"/>
      <c r="BJ1" s="346"/>
    </row>
    <row r="2" spans="1:62" s="6" customFormat="1" ht="22.5" customHeight="1">
      <c r="A2" s="348" t="s">
        <v>141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 t="s">
        <v>141</v>
      </c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 t="s">
        <v>141</v>
      </c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F2" s="348"/>
      <c r="BG2" s="348"/>
      <c r="BH2" s="348"/>
      <c r="BI2" s="348"/>
      <c r="BJ2" s="348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49" t="s">
        <v>36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 t="s">
        <v>36</v>
      </c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 t="s">
        <v>36</v>
      </c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49"/>
      <c r="BC4" s="349"/>
      <c r="BD4" s="349"/>
      <c r="BE4" s="349"/>
      <c r="BF4" s="349"/>
      <c r="BG4" s="349"/>
      <c r="BH4" s="349"/>
      <c r="BI4" s="349"/>
      <c r="BJ4" s="349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50" t="s">
        <v>152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 t="s">
        <v>152</v>
      </c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 t="s">
        <v>152</v>
      </c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</row>
    <row r="7" spans="1:2" ht="13.5" customHeight="1">
      <c r="A7" s="10"/>
      <c r="B7" s="10"/>
    </row>
    <row r="8" spans="1:2" ht="21" customHeight="1">
      <c r="A8" s="12" t="s">
        <v>37</v>
      </c>
      <c r="B8" s="10"/>
    </row>
    <row r="9" spans="2:62" ht="20.25">
      <c r="B9" s="8"/>
      <c r="C9" s="351">
        <v>1</v>
      </c>
      <c r="D9" s="351"/>
      <c r="E9" s="351"/>
      <c r="F9" s="351"/>
      <c r="G9" s="351"/>
      <c r="H9" s="351"/>
      <c r="I9" s="351">
        <v>2</v>
      </c>
      <c r="J9" s="351"/>
      <c r="K9" s="351"/>
      <c r="L9" s="351"/>
      <c r="M9" s="351"/>
      <c r="N9" s="351"/>
      <c r="O9" s="351">
        <v>3</v>
      </c>
      <c r="P9" s="351"/>
      <c r="Q9" s="351"/>
      <c r="R9" s="351"/>
      <c r="S9" s="351"/>
      <c r="T9" s="351"/>
      <c r="U9" s="351">
        <v>4</v>
      </c>
      <c r="V9" s="351"/>
      <c r="W9" s="351"/>
      <c r="X9" s="351"/>
      <c r="Y9" s="351"/>
      <c r="Z9" s="351"/>
      <c r="AA9" s="351">
        <v>5</v>
      </c>
      <c r="AB9" s="351"/>
      <c r="AC9" s="351"/>
      <c r="AD9" s="351"/>
      <c r="AE9" s="351"/>
      <c r="AF9" s="351"/>
      <c r="AG9" s="361">
        <v>6</v>
      </c>
      <c r="AH9" s="361"/>
      <c r="AI9" s="361"/>
      <c r="AJ9" s="361"/>
      <c r="AK9" s="361"/>
      <c r="AL9" s="361"/>
      <c r="AM9" s="361">
        <v>7</v>
      </c>
      <c r="AN9" s="361"/>
      <c r="AO9" s="361"/>
      <c r="AP9" s="361"/>
      <c r="AQ9" s="361"/>
      <c r="AR9" s="361"/>
      <c r="AS9" s="361">
        <v>8</v>
      </c>
      <c r="AT9" s="361"/>
      <c r="AU9" s="361"/>
      <c r="AV9" s="361"/>
      <c r="AW9" s="361"/>
      <c r="AX9" s="361"/>
      <c r="AY9" s="361">
        <v>9</v>
      </c>
      <c r="AZ9" s="361"/>
      <c r="BA9" s="361"/>
      <c r="BB9" s="361"/>
      <c r="BC9" s="361"/>
      <c r="BD9" s="361"/>
      <c r="BE9" s="362">
        <v>10</v>
      </c>
      <c r="BF9" s="362"/>
      <c r="BG9" s="362"/>
      <c r="BH9" s="362"/>
      <c r="BI9" s="362"/>
      <c r="BJ9" s="362"/>
    </row>
    <row r="10" spans="1:62" s="13" customFormat="1" ht="22.5" customHeight="1">
      <c r="A10" s="352" t="s">
        <v>0</v>
      </c>
      <c r="B10" s="355" t="s">
        <v>102</v>
      </c>
      <c r="C10" s="347" t="s">
        <v>52</v>
      </c>
      <c r="D10" s="347"/>
      <c r="E10" s="347"/>
      <c r="F10" s="347"/>
      <c r="G10" s="347"/>
      <c r="H10" s="347"/>
      <c r="I10" s="358" t="s">
        <v>53</v>
      </c>
      <c r="J10" s="359"/>
      <c r="K10" s="359"/>
      <c r="L10" s="359"/>
      <c r="M10" s="359"/>
      <c r="N10" s="360"/>
      <c r="O10" s="358" t="s">
        <v>54</v>
      </c>
      <c r="P10" s="359"/>
      <c r="Q10" s="359"/>
      <c r="R10" s="359"/>
      <c r="S10" s="359"/>
      <c r="T10" s="360"/>
      <c r="U10" s="358" t="s">
        <v>103</v>
      </c>
      <c r="V10" s="359"/>
      <c r="W10" s="359"/>
      <c r="X10" s="359"/>
      <c r="Y10" s="359"/>
      <c r="Z10" s="359"/>
      <c r="AA10" s="358" t="s">
        <v>55</v>
      </c>
      <c r="AB10" s="359"/>
      <c r="AC10" s="359"/>
      <c r="AD10" s="359"/>
      <c r="AE10" s="359"/>
      <c r="AF10" s="359"/>
      <c r="AG10" s="347" t="s">
        <v>56</v>
      </c>
      <c r="AH10" s="347"/>
      <c r="AI10" s="347"/>
      <c r="AJ10" s="347"/>
      <c r="AK10" s="347"/>
      <c r="AL10" s="347"/>
      <c r="AM10" s="347" t="s">
        <v>57</v>
      </c>
      <c r="AN10" s="347"/>
      <c r="AO10" s="347"/>
      <c r="AP10" s="347"/>
      <c r="AQ10" s="347"/>
      <c r="AR10" s="347"/>
      <c r="AS10" s="347" t="s">
        <v>58</v>
      </c>
      <c r="AT10" s="347"/>
      <c r="AU10" s="347"/>
      <c r="AV10" s="347"/>
      <c r="AW10" s="347"/>
      <c r="AX10" s="347"/>
      <c r="AY10" s="347" t="s">
        <v>59</v>
      </c>
      <c r="AZ10" s="347"/>
      <c r="BA10" s="347"/>
      <c r="BB10" s="347"/>
      <c r="BC10" s="347"/>
      <c r="BD10" s="347"/>
      <c r="BE10" s="347" t="s">
        <v>107</v>
      </c>
      <c r="BF10" s="347"/>
      <c r="BG10" s="347"/>
      <c r="BH10" s="347"/>
      <c r="BI10" s="347"/>
      <c r="BJ10" s="347"/>
    </row>
    <row r="11" spans="1:62" s="13" customFormat="1" ht="28.5" customHeight="1">
      <c r="A11" s="353"/>
      <c r="B11" s="356"/>
      <c r="C11" s="347" t="s">
        <v>60</v>
      </c>
      <c r="D11" s="347"/>
      <c r="E11" s="347"/>
      <c r="F11" s="347" t="s">
        <v>61</v>
      </c>
      <c r="G11" s="347"/>
      <c r="H11" s="347"/>
      <c r="I11" s="347" t="s">
        <v>60</v>
      </c>
      <c r="J11" s="347"/>
      <c r="K11" s="347"/>
      <c r="L11" s="347" t="s">
        <v>61</v>
      </c>
      <c r="M11" s="347"/>
      <c r="N11" s="347"/>
      <c r="O11" s="347" t="s">
        <v>60</v>
      </c>
      <c r="P11" s="347"/>
      <c r="Q11" s="347"/>
      <c r="R11" s="347" t="s">
        <v>61</v>
      </c>
      <c r="S11" s="347"/>
      <c r="T11" s="347"/>
      <c r="U11" s="347" t="s">
        <v>60</v>
      </c>
      <c r="V11" s="347"/>
      <c r="W11" s="347"/>
      <c r="X11" s="347" t="s">
        <v>61</v>
      </c>
      <c r="Y11" s="347"/>
      <c r="Z11" s="347"/>
      <c r="AA11" s="347" t="s">
        <v>60</v>
      </c>
      <c r="AB11" s="347"/>
      <c r="AC11" s="347"/>
      <c r="AD11" s="347" t="s">
        <v>61</v>
      </c>
      <c r="AE11" s="347"/>
      <c r="AF11" s="347"/>
      <c r="AG11" s="347" t="s">
        <v>60</v>
      </c>
      <c r="AH11" s="347"/>
      <c r="AI11" s="347"/>
      <c r="AJ11" s="347" t="s">
        <v>61</v>
      </c>
      <c r="AK11" s="347"/>
      <c r="AL11" s="347"/>
      <c r="AM11" s="347" t="s">
        <v>60</v>
      </c>
      <c r="AN11" s="347"/>
      <c r="AO11" s="347"/>
      <c r="AP11" s="347" t="s">
        <v>61</v>
      </c>
      <c r="AQ11" s="347"/>
      <c r="AR11" s="347"/>
      <c r="AS11" s="347" t="s">
        <v>60</v>
      </c>
      <c r="AT11" s="347"/>
      <c r="AU11" s="347"/>
      <c r="AV11" s="347" t="s">
        <v>61</v>
      </c>
      <c r="AW11" s="347"/>
      <c r="AX11" s="347"/>
      <c r="AY11" s="347" t="s">
        <v>60</v>
      </c>
      <c r="AZ11" s="347"/>
      <c r="BA11" s="347"/>
      <c r="BB11" s="347" t="s">
        <v>61</v>
      </c>
      <c r="BC11" s="347"/>
      <c r="BD11" s="347"/>
      <c r="BE11" s="347" t="s">
        <v>60</v>
      </c>
      <c r="BF11" s="347"/>
      <c r="BG11" s="347"/>
      <c r="BH11" s="347" t="s">
        <v>61</v>
      </c>
      <c r="BI11" s="347"/>
      <c r="BJ11" s="347"/>
    </row>
    <row r="12" spans="1:62" s="14" customFormat="1" ht="28.5" customHeight="1">
      <c r="A12" s="354"/>
      <c r="B12" s="357"/>
      <c r="C12" s="343" t="s">
        <v>62</v>
      </c>
      <c r="D12" s="343"/>
      <c r="E12" s="341" t="s">
        <v>63</v>
      </c>
      <c r="F12" s="343" t="s">
        <v>62</v>
      </c>
      <c r="G12" s="343"/>
      <c r="H12" s="341" t="s">
        <v>63</v>
      </c>
      <c r="I12" s="343" t="s">
        <v>62</v>
      </c>
      <c r="J12" s="343"/>
      <c r="K12" s="341" t="s">
        <v>63</v>
      </c>
      <c r="L12" s="343" t="s">
        <v>62</v>
      </c>
      <c r="M12" s="343"/>
      <c r="N12" s="341" t="s">
        <v>63</v>
      </c>
      <c r="O12" s="343" t="s">
        <v>62</v>
      </c>
      <c r="P12" s="343"/>
      <c r="Q12" s="341" t="s">
        <v>63</v>
      </c>
      <c r="R12" s="343" t="s">
        <v>62</v>
      </c>
      <c r="S12" s="343"/>
      <c r="T12" s="341" t="s">
        <v>63</v>
      </c>
      <c r="U12" s="343" t="s">
        <v>62</v>
      </c>
      <c r="V12" s="343"/>
      <c r="W12" s="341" t="s">
        <v>63</v>
      </c>
      <c r="X12" s="343" t="s">
        <v>62</v>
      </c>
      <c r="Y12" s="343"/>
      <c r="Z12" s="341" t="s">
        <v>63</v>
      </c>
      <c r="AA12" s="343" t="s">
        <v>62</v>
      </c>
      <c r="AB12" s="343"/>
      <c r="AC12" s="341" t="s">
        <v>63</v>
      </c>
      <c r="AD12" s="343" t="s">
        <v>62</v>
      </c>
      <c r="AE12" s="343"/>
      <c r="AF12" s="341" t="s">
        <v>63</v>
      </c>
      <c r="AG12" s="343" t="s">
        <v>62</v>
      </c>
      <c r="AH12" s="343"/>
      <c r="AI12" s="341" t="s">
        <v>63</v>
      </c>
      <c r="AJ12" s="343" t="s">
        <v>62</v>
      </c>
      <c r="AK12" s="343"/>
      <c r="AL12" s="341" t="s">
        <v>63</v>
      </c>
      <c r="AM12" s="343" t="s">
        <v>62</v>
      </c>
      <c r="AN12" s="343"/>
      <c r="AO12" s="341" t="s">
        <v>63</v>
      </c>
      <c r="AP12" s="343" t="s">
        <v>62</v>
      </c>
      <c r="AQ12" s="343"/>
      <c r="AR12" s="341" t="s">
        <v>63</v>
      </c>
      <c r="AS12" s="343" t="s">
        <v>62</v>
      </c>
      <c r="AT12" s="343"/>
      <c r="AU12" s="341" t="s">
        <v>63</v>
      </c>
      <c r="AV12" s="343" t="s">
        <v>62</v>
      </c>
      <c r="AW12" s="343"/>
      <c r="AX12" s="341" t="s">
        <v>63</v>
      </c>
      <c r="AY12" s="343" t="s">
        <v>62</v>
      </c>
      <c r="AZ12" s="343"/>
      <c r="BA12" s="341" t="s">
        <v>63</v>
      </c>
      <c r="BB12" s="343" t="s">
        <v>62</v>
      </c>
      <c r="BC12" s="343"/>
      <c r="BD12" s="341" t="s">
        <v>63</v>
      </c>
      <c r="BE12" s="343" t="s">
        <v>62</v>
      </c>
      <c r="BF12" s="343"/>
      <c r="BG12" s="341" t="s">
        <v>63</v>
      </c>
      <c r="BH12" s="343" t="s">
        <v>62</v>
      </c>
      <c r="BI12" s="343"/>
      <c r="BJ12" s="341" t="s">
        <v>63</v>
      </c>
    </row>
    <row r="13" spans="1:62" s="18" customFormat="1" ht="13.5" customHeight="1">
      <c r="A13" s="15"/>
      <c r="B13" s="16"/>
      <c r="C13" s="17" t="s">
        <v>64</v>
      </c>
      <c r="D13" s="17" t="s">
        <v>65</v>
      </c>
      <c r="E13" s="342"/>
      <c r="F13" s="17" t="s">
        <v>64</v>
      </c>
      <c r="G13" s="17" t="s">
        <v>65</v>
      </c>
      <c r="H13" s="342"/>
      <c r="I13" s="17" t="s">
        <v>64</v>
      </c>
      <c r="J13" s="17" t="s">
        <v>66</v>
      </c>
      <c r="K13" s="342"/>
      <c r="L13" s="17" t="s">
        <v>64</v>
      </c>
      <c r="M13" s="17" t="s">
        <v>66</v>
      </c>
      <c r="N13" s="342"/>
      <c r="O13" s="17" t="s">
        <v>64</v>
      </c>
      <c r="P13" s="17" t="s">
        <v>67</v>
      </c>
      <c r="Q13" s="342"/>
      <c r="R13" s="17" t="s">
        <v>64</v>
      </c>
      <c r="S13" s="17" t="s">
        <v>67</v>
      </c>
      <c r="T13" s="342"/>
      <c r="U13" s="17" t="s">
        <v>64</v>
      </c>
      <c r="V13" s="17" t="s">
        <v>104</v>
      </c>
      <c r="W13" s="342"/>
      <c r="X13" s="17" t="s">
        <v>64</v>
      </c>
      <c r="Y13" s="17" t="s">
        <v>104</v>
      </c>
      <c r="Z13" s="342"/>
      <c r="AA13" s="17" t="s">
        <v>64</v>
      </c>
      <c r="AB13" s="17" t="s">
        <v>65</v>
      </c>
      <c r="AC13" s="342"/>
      <c r="AD13" s="17" t="s">
        <v>64</v>
      </c>
      <c r="AE13" s="17" t="s">
        <v>65</v>
      </c>
      <c r="AF13" s="342"/>
      <c r="AG13" s="17" t="s">
        <v>64</v>
      </c>
      <c r="AH13" s="17" t="s">
        <v>66</v>
      </c>
      <c r="AI13" s="342"/>
      <c r="AJ13" s="17" t="s">
        <v>64</v>
      </c>
      <c r="AK13" s="17" t="s">
        <v>66</v>
      </c>
      <c r="AL13" s="342"/>
      <c r="AM13" s="17" t="s">
        <v>64</v>
      </c>
      <c r="AN13" s="17" t="s">
        <v>67</v>
      </c>
      <c r="AO13" s="342"/>
      <c r="AP13" s="17" t="s">
        <v>64</v>
      </c>
      <c r="AQ13" s="17" t="s">
        <v>67</v>
      </c>
      <c r="AR13" s="342"/>
      <c r="AS13" s="17" t="s">
        <v>64</v>
      </c>
      <c r="AT13" s="17" t="s">
        <v>67</v>
      </c>
      <c r="AU13" s="342"/>
      <c r="AV13" s="17" t="s">
        <v>64</v>
      </c>
      <c r="AW13" s="17" t="s">
        <v>67</v>
      </c>
      <c r="AX13" s="342"/>
      <c r="AY13" s="344" t="s">
        <v>64</v>
      </c>
      <c r="AZ13" s="345"/>
      <c r="BA13" s="342"/>
      <c r="BB13" s="344" t="s">
        <v>64</v>
      </c>
      <c r="BC13" s="345"/>
      <c r="BD13" s="342"/>
      <c r="BE13" s="344" t="s">
        <v>64</v>
      </c>
      <c r="BF13" s="345"/>
      <c r="BG13" s="342"/>
      <c r="BH13" s="344" t="s">
        <v>64</v>
      </c>
      <c r="BI13" s="345"/>
      <c r="BJ13" s="342"/>
    </row>
    <row r="14" spans="1:65" s="19" customFormat="1" ht="115.5" customHeight="1">
      <c r="A14" s="93"/>
      <c r="B14" s="94" t="s">
        <v>105</v>
      </c>
      <c r="C14" s="96">
        <v>1251</v>
      </c>
      <c r="D14" s="96">
        <v>746460.740801282</v>
      </c>
      <c r="E14" s="96">
        <v>1445.83827</v>
      </c>
      <c r="F14" s="96">
        <v>502</v>
      </c>
      <c r="G14" s="96">
        <v>246951.74202056165</v>
      </c>
      <c r="H14" s="96">
        <v>304.48694</v>
      </c>
      <c r="I14" s="96">
        <v>172</v>
      </c>
      <c r="J14" s="96">
        <v>98.21795185625</v>
      </c>
      <c r="K14" s="96">
        <v>78.34087</v>
      </c>
      <c r="L14" s="96">
        <v>316</v>
      </c>
      <c r="M14" s="96">
        <v>112.474</v>
      </c>
      <c r="N14" s="96">
        <v>122.38936000000001</v>
      </c>
      <c r="O14" s="96">
        <v>516</v>
      </c>
      <c r="P14" s="96">
        <v>1447.7027437554839</v>
      </c>
      <c r="Q14" s="96">
        <v>785.7476400000002</v>
      </c>
      <c r="R14" s="96">
        <v>378</v>
      </c>
      <c r="S14" s="96">
        <v>250.60594367842182</v>
      </c>
      <c r="T14" s="96">
        <v>662.3883999999999</v>
      </c>
      <c r="U14" s="96">
        <v>318</v>
      </c>
      <c r="V14" s="96">
        <v>195.74479134916177</v>
      </c>
      <c r="W14" s="96">
        <v>208.35802999999999</v>
      </c>
      <c r="X14" s="96">
        <v>240</v>
      </c>
      <c r="Y14" s="96">
        <v>131.94448345237475</v>
      </c>
      <c r="Z14" s="96">
        <v>187.18018000000004</v>
      </c>
      <c r="AA14" s="96">
        <v>198</v>
      </c>
      <c r="AB14" s="96">
        <v>196875.76756823953</v>
      </c>
      <c r="AC14" s="96">
        <v>249.41609</v>
      </c>
      <c r="AD14" s="96">
        <v>207</v>
      </c>
      <c r="AE14" s="96">
        <v>140024.6104184704</v>
      </c>
      <c r="AF14" s="96">
        <v>128.82207</v>
      </c>
      <c r="AG14" s="96">
        <v>1826</v>
      </c>
      <c r="AH14" s="96">
        <v>4943.6241752814285</v>
      </c>
      <c r="AI14" s="96">
        <v>1580.8444100000002</v>
      </c>
      <c r="AJ14" s="96">
        <v>1025</v>
      </c>
      <c r="AK14" s="96">
        <v>1385.3914214921874</v>
      </c>
      <c r="AL14" s="96">
        <v>614.0734</v>
      </c>
      <c r="AM14" s="96">
        <v>641</v>
      </c>
      <c r="AN14" s="96">
        <v>1916.7156526934116</v>
      </c>
      <c r="AO14" s="96">
        <v>1824.2303399999998</v>
      </c>
      <c r="AP14" s="96">
        <v>833</v>
      </c>
      <c r="AQ14" s="96">
        <v>145.87408838424167</v>
      </c>
      <c r="AR14" s="96">
        <v>1582.267893</v>
      </c>
      <c r="AS14" s="96">
        <v>1646</v>
      </c>
      <c r="AT14" s="96">
        <v>1231.0926561188398</v>
      </c>
      <c r="AU14" s="96">
        <v>3058.0923300000004</v>
      </c>
      <c r="AV14" s="96">
        <v>1335</v>
      </c>
      <c r="AW14" s="96">
        <v>682.6689018276431</v>
      </c>
      <c r="AX14" s="96">
        <v>2315.137127</v>
      </c>
      <c r="AY14" s="96">
        <v>5</v>
      </c>
      <c r="AZ14" s="96">
        <v>0</v>
      </c>
      <c r="BA14" s="96">
        <v>27.77321</v>
      </c>
      <c r="BB14" s="96">
        <v>68</v>
      </c>
      <c r="BC14" s="96">
        <v>6.25</v>
      </c>
      <c r="BD14" s="96">
        <v>339.77153999999996</v>
      </c>
      <c r="BE14" s="340">
        <v>6573</v>
      </c>
      <c r="BF14" s="340"/>
      <c r="BG14" s="97">
        <v>9258.64</v>
      </c>
      <c r="BH14" s="340">
        <v>4904</v>
      </c>
      <c r="BI14" s="340"/>
      <c r="BJ14" s="98">
        <v>6256.52</v>
      </c>
      <c r="BK14" s="77"/>
      <c r="BL14" s="95"/>
      <c r="BM14" s="95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77"/>
      <c r="BL15" s="91"/>
      <c r="BM15" s="78"/>
    </row>
    <row r="16" spans="1:65" s="19" customFormat="1" ht="25.5" customHeight="1">
      <c r="A16" s="79"/>
      <c r="B16" s="80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198"/>
      <c r="BH16" s="92"/>
      <c r="BI16" s="92"/>
      <c r="BJ16" s="92"/>
      <c r="BK16" s="92"/>
      <c r="BL16" s="92"/>
      <c r="BM16" s="92"/>
    </row>
    <row r="17" spans="18:65" ht="16.5">
      <c r="R17" s="48" t="s">
        <v>120</v>
      </c>
      <c r="AJ17" s="48" t="s">
        <v>120</v>
      </c>
      <c r="AN17" s="22"/>
      <c r="AO17" s="76"/>
      <c r="AP17" s="22"/>
      <c r="AQ17" s="22"/>
      <c r="AR17" s="76"/>
      <c r="AS17" s="22"/>
      <c r="AT17" s="22"/>
      <c r="BF17" s="22"/>
      <c r="BH17" s="48" t="s">
        <v>120</v>
      </c>
      <c r="BL17" s="8">
        <f>6573+4904</f>
        <v>11477</v>
      </c>
      <c r="BM17" s="22"/>
    </row>
    <row r="18" spans="18:60" ht="16.5">
      <c r="R18" s="49" t="s">
        <v>121</v>
      </c>
      <c r="AJ18" s="49" t="s">
        <v>121</v>
      </c>
      <c r="AN18" s="22"/>
      <c r="AO18" s="76"/>
      <c r="AP18" s="22"/>
      <c r="AQ18" s="22"/>
      <c r="AR18" s="76"/>
      <c r="AS18" s="22"/>
      <c r="AT18" s="22"/>
      <c r="BF18" s="23"/>
      <c r="BH18" s="49" t="s">
        <v>121</v>
      </c>
    </row>
    <row r="19" spans="18:60" ht="16.5">
      <c r="R19" s="49" t="s">
        <v>106</v>
      </c>
      <c r="AJ19" s="49" t="s">
        <v>106</v>
      </c>
      <c r="AN19" s="22"/>
      <c r="AO19" s="76"/>
      <c r="AP19" s="22"/>
      <c r="AQ19" s="22"/>
      <c r="AR19" s="76"/>
      <c r="AS19" s="22"/>
      <c r="AT19" s="22"/>
      <c r="BH19" s="49" t="s">
        <v>106</v>
      </c>
    </row>
    <row r="20" spans="18:60" ht="16.5">
      <c r="R20" s="50" t="s">
        <v>122</v>
      </c>
      <c r="AJ20" s="50" t="s">
        <v>122</v>
      </c>
      <c r="AN20" s="22"/>
      <c r="AO20" s="76"/>
      <c r="AP20" s="22"/>
      <c r="AQ20" s="22"/>
      <c r="AR20" s="76"/>
      <c r="AS20" s="22"/>
      <c r="AT20" s="22"/>
      <c r="BH20" s="50" t="s">
        <v>122</v>
      </c>
    </row>
    <row r="21" spans="18:60" ht="16.5">
      <c r="R21" s="49" t="s">
        <v>108</v>
      </c>
      <c r="AJ21" s="49" t="s">
        <v>108</v>
      </c>
      <c r="AN21" s="22"/>
      <c r="AO21" s="76"/>
      <c r="AP21" s="22"/>
      <c r="AQ21" s="22"/>
      <c r="AR21" s="76"/>
      <c r="AS21" s="22"/>
      <c r="AT21" s="22"/>
      <c r="BH21" s="49" t="s">
        <v>108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4" sqref="F14"/>
    </sheetView>
  </sheetViews>
  <sheetFormatPr defaultColWidth="9.140625" defaultRowHeight="15"/>
  <cols>
    <col min="1" max="1" width="5.57421875" style="200" customWidth="1"/>
    <col min="2" max="2" width="24.28125" style="200" customWidth="1"/>
    <col min="3" max="3" width="13.57421875" style="200" customWidth="1"/>
    <col min="4" max="4" width="12.8515625" style="200" customWidth="1"/>
    <col min="5" max="5" width="12.57421875" style="119" customWidth="1"/>
    <col min="6" max="6" width="13.7109375" style="119" customWidth="1"/>
    <col min="7" max="7" width="9.7109375" style="200" customWidth="1"/>
    <col min="8" max="8" width="13.57421875" style="200" customWidth="1"/>
    <col min="9" max="9" width="9.7109375" style="200" customWidth="1"/>
    <col min="10" max="10" width="12.421875" style="200" customWidth="1"/>
    <col min="11" max="11" width="9.7109375" style="200" customWidth="1"/>
    <col min="12" max="12" width="11.00390625" style="200" customWidth="1"/>
    <col min="13" max="13" width="9.140625" style="200" customWidth="1"/>
    <col min="14" max="14" width="10.00390625" style="200" bestFit="1" customWidth="1"/>
    <col min="15" max="16384" width="9.140625" style="200" customWidth="1"/>
  </cols>
  <sheetData>
    <row r="1" spans="11:12" ht="6" customHeight="1">
      <c r="K1" s="363" t="s">
        <v>71</v>
      </c>
      <c r="L1" s="363"/>
    </row>
    <row r="2" spans="1:12" ht="20.25">
      <c r="A2" s="364" t="s">
        <v>123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</row>
    <row r="3" spans="1:1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8.75">
      <c r="A4" s="365" t="s">
        <v>36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</row>
    <row r="5" ht="11.25" customHeight="1"/>
    <row r="6" spans="1:12" ht="18.75">
      <c r="A6" s="366" t="s">
        <v>153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</row>
    <row r="7" spans="3:12" ht="26.25" customHeight="1"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12" ht="111" customHeight="1">
      <c r="A8" s="367" t="s">
        <v>0</v>
      </c>
      <c r="B8" s="367" t="s">
        <v>38</v>
      </c>
      <c r="C8" s="367" t="s">
        <v>68</v>
      </c>
      <c r="D8" s="367"/>
      <c r="E8" s="367" t="s">
        <v>72</v>
      </c>
      <c r="F8" s="367"/>
      <c r="G8" s="367" t="s">
        <v>73</v>
      </c>
      <c r="H8" s="367"/>
      <c r="I8" s="367" t="s">
        <v>74</v>
      </c>
      <c r="J8" s="367"/>
      <c r="K8" s="367" t="s">
        <v>75</v>
      </c>
      <c r="L8" s="367"/>
    </row>
    <row r="9" spans="1:12" ht="20.25" customHeight="1">
      <c r="A9" s="367"/>
      <c r="B9" s="367"/>
      <c r="C9" s="203" t="s">
        <v>69</v>
      </c>
      <c r="D9" s="203" t="s">
        <v>70</v>
      </c>
      <c r="E9" s="203" t="s">
        <v>69</v>
      </c>
      <c r="F9" s="203" t="s">
        <v>70</v>
      </c>
      <c r="G9" s="203" t="s">
        <v>69</v>
      </c>
      <c r="H9" s="203" t="s">
        <v>70</v>
      </c>
      <c r="I9" s="203" t="s">
        <v>69</v>
      </c>
      <c r="J9" s="203" t="s">
        <v>70</v>
      </c>
      <c r="K9" s="203" t="s">
        <v>69</v>
      </c>
      <c r="L9" s="203" t="s">
        <v>98</v>
      </c>
    </row>
    <row r="10" spans="1:12" ht="15">
      <c r="A10" s="204">
        <v>1</v>
      </c>
      <c r="B10" s="204">
        <v>2</v>
      </c>
      <c r="C10" s="204">
        <v>3</v>
      </c>
      <c r="D10" s="204">
        <v>4</v>
      </c>
      <c r="E10" s="204">
        <v>5</v>
      </c>
      <c r="F10" s="204">
        <v>6</v>
      </c>
      <c r="G10" s="204">
        <v>7</v>
      </c>
      <c r="H10" s="204">
        <v>8</v>
      </c>
      <c r="I10" s="204">
        <v>9</v>
      </c>
      <c r="J10" s="204">
        <v>10</v>
      </c>
      <c r="K10" s="204">
        <v>11</v>
      </c>
      <c r="L10" s="204">
        <v>12</v>
      </c>
    </row>
    <row r="11" spans="1:23" s="163" customFormat="1" ht="18.75">
      <c r="A11" s="154">
        <v>1</v>
      </c>
      <c r="B11" s="154" t="s">
        <v>22</v>
      </c>
      <c r="C11" s="294">
        <v>2422</v>
      </c>
      <c r="D11" s="294">
        <v>0</v>
      </c>
      <c r="E11" s="294">
        <v>3</v>
      </c>
      <c r="F11" s="294">
        <v>19</v>
      </c>
      <c r="G11" s="294">
        <v>435</v>
      </c>
      <c r="H11" s="294">
        <v>2</v>
      </c>
      <c r="I11" s="294">
        <v>0</v>
      </c>
      <c r="J11" s="294">
        <v>10</v>
      </c>
      <c r="K11" s="294">
        <v>0</v>
      </c>
      <c r="L11" s="294">
        <v>0</v>
      </c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</row>
    <row r="12" spans="1:23" s="163" customFormat="1" ht="18.75">
      <c r="A12" s="154">
        <v>2</v>
      </c>
      <c r="B12" s="154" t="s">
        <v>23</v>
      </c>
      <c r="C12" s="294">
        <v>959</v>
      </c>
      <c r="D12" s="294">
        <v>0</v>
      </c>
      <c r="E12" s="294">
        <v>4</v>
      </c>
      <c r="F12" s="294">
        <v>0</v>
      </c>
      <c r="G12" s="294">
        <v>927</v>
      </c>
      <c r="H12" s="294">
        <v>0</v>
      </c>
      <c r="I12" s="294">
        <v>1</v>
      </c>
      <c r="J12" s="294">
        <v>0</v>
      </c>
      <c r="K12" s="294">
        <v>8</v>
      </c>
      <c r="L12" s="294">
        <v>0</v>
      </c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3" s="206" customFormat="1" ht="18.75" customHeight="1">
      <c r="A13" s="154">
        <v>3</v>
      </c>
      <c r="B13" s="154" t="s">
        <v>24</v>
      </c>
      <c r="C13" s="295">
        <v>3226.473066263543</v>
      </c>
      <c r="D13" s="295">
        <v>12905.892265054172</v>
      </c>
      <c r="E13" s="295">
        <v>832</v>
      </c>
      <c r="F13" s="295">
        <v>9</v>
      </c>
      <c r="G13" s="295">
        <v>0</v>
      </c>
      <c r="H13" s="295">
        <v>0.1</v>
      </c>
      <c r="I13" s="295">
        <v>0</v>
      </c>
      <c r="J13" s="295">
        <v>1</v>
      </c>
      <c r="K13" s="295">
        <v>12</v>
      </c>
      <c r="L13" s="295">
        <v>12</v>
      </c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</row>
    <row r="14" spans="1:23" s="163" customFormat="1" ht="18.75">
      <c r="A14" s="154">
        <v>4</v>
      </c>
      <c r="B14" s="154" t="s">
        <v>25</v>
      </c>
      <c r="C14" s="294">
        <v>135</v>
      </c>
      <c r="D14" s="294">
        <v>1793</v>
      </c>
      <c r="E14" s="294">
        <v>1</v>
      </c>
      <c r="F14" s="294">
        <v>11</v>
      </c>
      <c r="G14" s="294">
        <v>0</v>
      </c>
      <c r="H14" s="294">
        <v>440</v>
      </c>
      <c r="I14" s="294">
        <v>3</v>
      </c>
      <c r="J14" s="294">
        <v>2</v>
      </c>
      <c r="K14" s="294">
        <v>0</v>
      </c>
      <c r="L14" s="294">
        <v>2</v>
      </c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23" s="163" customFormat="1" ht="18.75">
      <c r="A15" s="154">
        <v>5</v>
      </c>
      <c r="B15" s="154" t="s">
        <v>26</v>
      </c>
      <c r="C15" s="294">
        <v>470</v>
      </c>
      <c r="D15" s="294">
        <v>127</v>
      </c>
      <c r="E15" s="294">
        <v>15</v>
      </c>
      <c r="F15" s="294">
        <v>7</v>
      </c>
      <c r="G15" s="294">
        <v>0</v>
      </c>
      <c r="H15" s="294">
        <v>12</v>
      </c>
      <c r="I15" s="294">
        <v>17</v>
      </c>
      <c r="J15" s="294">
        <v>73</v>
      </c>
      <c r="K15" s="294">
        <v>0</v>
      </c>
      <c r="L15" s="294">
        <v>0</v>
      </c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</row>
    <row r="16" spans="1:23" s="163" customFormat="1" ht="18.75">
      <c r="A16" s="154">
        <v>6</v>
      </c>
      <c r="B16" s="154" t="s">
        <v>27</v>
      </c>
      <c r="C16" s="294">
        <v>2773</v>
      </c>
      <c r="D16" s="294">
        <v>3168</v>
      </c>
      <c r="E16" s="294">
        <v>1</v>
      </c>
      <c r="F16" s="294">
        <v>5</v>
      </c>
      <c r="G16" s="294">
        <v>48</v>
      </c>
      <c r="H16" s="294">
        <v>11.16</v>
      </c>
      <c r="I16" s="294">
        <v>10</v>
      </c>
      <c r="J16" s="294">
        <v>1</v>
      </c>
      <c r="K16" s="294">
        <v>0</v>
      </c>
      <c r="L16" s="294">
        <v>0</v>
      </c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</row>
    <row r="17" spans="1:23" s="163" customFormat="1" ht="18.75">
      <c r="A17" s="154">
        <v>7</v>
      </c>
      <c r="B17" s="154" t="s">
        <v>28</v>
      </c>
      <c r="C17" s="294">
        <v>2644</v>
      </c>
      <c r="D17" s="294">
        <v>2255</v>
      </c>
      <c r="E17" s="294">
        <v>13</v>
      </c>
      <c r="F17" s="294">
        <v>7</v>
      </c>
      <c r="G17" s="294">
        <v>509</v>
      </c>
      <c r="H17" s="294">
        <v>117</v>
      </c>
      <c r="I17" s="294">
        <v>0</v>
      </c>
      <c r="J17" s="294">
        <v>10</v>
      </c>
      <c r="K17" s="294">
        <v>0</v>
      </c>
      <c r="L17" s="294">
        <v>0</v>
      </c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</row>
    <row r="18" spans="1:23" s="163" customFormat="1" ht="18.75">
      <c r="A18" s="154">
        <v>8</v>
      </c>
      <c r="B18" s="154" t="s">
        <v>29</v>
      </c>
      <c r="C18" s="294">
        <v>0</v>
      </c>
      <c r="D18" s="294">
        <v>207</v>
      </c>
      <c r="E18" s="294">
        <v>0</v>
      </c>
      <c r="F18" s="294">
        <v>0</v>
      </c>
      <c r="G18" s="294">
        <v>516</v>
      </c>
      <c r="H18" s="294">
        <v>49</v>
      </c>
      <c r="I18" s="294">
        <v>0</v>
      </c>
      <c r="J18" s="294">
        <v>0</v>
      </c>
      <c r="K18" s="294">
        <v>0</v>
      </c>
      <c r="L18" s="294">
        <v>0</v>
      </c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</row>
    <row r="19" spans="1:23" s="163" customFormat="1" ht="18.75">
      <c r="A19" s="154">
        <v>9</v>
      </c>
      <c r="B19" s="154" t="s">
        <v>30</v>
      </c>
      <c r="C19" s="295">
        <v>0</v>
      </c>
      <c r="D19" s="295">
        <v>407</v>
      </c>
      <c r="E19" s="295">
        <v>0</v>
      </c>
      <c r="F19" s="295">
        <v>5</v>
      </c>
      <c r="G19" s="295">
        <v>0</v>
      </c>
      <c r="H19" s="295">
        <v>41</v>
      </c>
      <c r="I19" s="295">
        <v>0</v>
      </c>
      <c r="J19" s="295">
        <v>5</v>
      </c>
      <c r="K19" s="295">
        <v>1</v>
      </c>
      <c r="L19" s="295">
        <v>1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</row>
    <row r="20" spans="1:23" s="163" customFormat="1" ht="18.75">
      <c r="A20" s="154">
        <v>10</v>
      </c>
      <c r="B20" s="154" t="s">
        <v>31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2</v>
      </c>
      <c r="L20" s="294">
        <v>0</v>
      </c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s="163" customFormat="1" ht="18.75">
      <c r="A21" s="154">
        <v>11</v>
      </c>
      <c r="B21" s="154" t="s">
        <v>32</v>
      </c>
      <c r="C21" s="294">
        <v>4572</v>
      </c>
      <c r="D21" s="294">
        <v>319</v>
      </c>
      <c r="E21" s="294">
        <v>5</v>
      </c>
      <c r="F21" s="294">
        <v>5</v>
      </c>
      <c r="G21" s="294">
        <v>210</v>
      </c>
      <c r="H21" s="294">
        <v>113</v>
      </c>
      <c r="I21" s="294">
        <v>5</v>
      </c>
      <c r="J21" s="294">
        <v>0</v>
      </c>
      <c r="K21" s="294">
        <v>0</v>
      </c>
      <c r="L21" s="294">
        <v>4</v>
      </c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s="163" customFormat="1" ht="24" customHeight="1">
      <c r="A22" s="154">
        <v>12</v>
      </c>
      <c r="B22" s="154" t="s">
        <v>33</v>
      </c>
      <c r="C22" s="294">
        <v>13940</v>
      </c>
      <c r="D22" s="294">
        <v>1247</v>
      </c>
      <c r="E22" s="294">
        <v>2</v>
      </c>
      <c r="F22" s="294">
        <v>10</v>
      </c>
      <c r="G22" s="294">
        <v>1266</v>
      </c>
      <c r="H22" s="294">
        <v>65</v>
      </c>
      <c r="I22" s="294"/>
      <c r="J22" s="294"/>
      <c r="K22" s="294">
        <v>0</v>
      </c>
      <c r="L22" s="294">
        <v>0</v>
      </c>
      <c r="M22" s="162"/>
      <c r="N22" s="162"/>
      <c r="O22" s="162"/>
      <c r="P22" s="162" t="s">
        <v>143</v>
      </c>
      <c r="Q22" s="162"/>
      <c r="R22" s="162"/>
      <c r="S22" s="162"/>
      <c r="T22" s="162"/>
      <c r="U22" s="162"/>
      <c r="V22" s="162"/>
      <c r="W22" s="162"/>
    </row>
    <row r="23" spans="1:23" s="163" customFormat="1" ht="18.75">
      <c r="A23" s="154">
        <v>13</v>
      </c>
      <c r="B23" s="154" t="s">
        <v>34</v>
      </c>
      <c r="C23" s="294">
        <v>0</v>
      </c>
      <c r="D23" s="294">
        <v>3504</v>
      </c>
      <c r="E23" s="294">
        <v>8</v>
      </c>
      <c r="F23" s="294">
        <v>6</v>
      </c>
      <c r="G23" s="294">
        <v>12</v>
      </c>
      <c r="H23" s="294">
        <v>16</v>
      </c>
      <c r="I23" s="294">
        <v>0</v>
      </c>
      <c r="J23" s="294">
        <v>0</v>
      </c>
      <c r="K23" s="294">
        <v>2</v>
      </c>
      <c r="L23" s="294">
        <v>7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</row>
    <row r="24" spans="1:20" s="207" customFormat="1" ht="18.75">
      <c r="A24" s="155"/>
      <c r="B24" s="156" t="s">
        <v>5</v>
      </c>
      <c r="C24" s="157">
        <f>SUM(C11:C23)</f>
        <v>31141.47306626354</v>
      </c>
      <c r="D24" s="157">
        <f aca="true" t="shared" si="0" ref="D24:L24">SUM(D11:D23)</f>
        <v>25932.89226505417</v>
      </c>
      <c r="E24" s="157">
        <f t="shared" si="0"/>
        <v>884</v>
      </c>
      <c r="F24" s="157">
        <f t="shared" si="0"/>
        <v>84</v>
      </c>
      <c r="G24" s="157">
        <f t="shared" si="0"/>
        <v>3923</v>
      </c>
      <c r="H24" s="157">
        <f t="shared" si="0"/>
        <v>866.26</v>
      </c>
      <c r="I24" s="157">
        <f t="shared" si="0"/>
        <v>36</v>
      </c>
      <c r="J24" s="157">
        <f t="shared" si="0"/>
        <v>102</v>
      </c>
      <c r="K24" s="157">
        <f t="shared" si="0"/>
        <v>25</v>
      </c>
      <c r="L24" s="157">
        <f t="shared" si="0"/>
        <v>26</v>
      </c>
      <c r="O24" s="208"/>
      <c r="S24" s="208"/>
      <c r="T24" s="208"/>
    </row>
    <row r="25" s="119" customFormat="1" ht="32.25" customHeight="1">
      <c r="T25" s="202"/>
    </row>
    <row r="26" spans="3:10" ht="18">
      <c r="C26" s="209"/>
      <c r="D26" s="209"/>
      <c r="E26" s="202"/>
      <c r="F26" s="202"/>
      <c r="G26" s="209"/>
      <c r="H26" s="209"/>
      <c r="I26" s="210"/>
      <c r="J26" s="211" t="s">
        <v>120</v>
      </c>
    </row>
    <row r="27" spans="4:10" ht="18">
      <c r="D27" s="199"/>
      <c r="J27" s="212" t="s">
        <v>121</v>
      </c>
    </row>
    <row r="28" ht="18">
      <c r="J28" s="212" t="s">
        <v>106</v>
      </c>
    </row>
    <row r="29" ht="18">
      <c r="J29" s="213" t="s">
        <v>122</v>
      </c>
    </row>
    <row r="30" ht="18">
      <c r="J30" s="212" t="s">
        <v>108</v>
      </c>
    </row>
  </sheetData>
  <sheetProtection/>
  <mergeCells count="11">
    <mergeCell ref="K8:L8"/>
    <mergeCell ref="K1:L1"/>
    <mergeCell ref="A2:L2"/>
    <mergeCell ref="A4:L4"/>
    <mergeCell ref="A6:L6"/>
    <mergeCell ref="A8:A9"/>
    <mergeCell ref="B8:B9"/>
    <mergeCell ref="C8:D8"/>
    <mergeCell ref="E8:F8"/>
    <mergeCell ref="G8:H8"/>
    <mergeCell ref="I8:J8"/>
  </mergeCells>
  <conditionalFormatting sqref="J29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O9" sqref="O9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90</v>
      </c>
    </row>
    <row r="2" spans="1:22" ht="18.75" customHeight="1">
      <c r="A2" s="376" t="s">
        <v>123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77" t="s">
        <v>154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</row>
    <row r="5" spans="1:22" ht="18" customHeight="1">
      <c r="A5" s="27" t="s">
        <v>37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74" t="s">
        <v>76</v>
      </c>
      <c r="B7" s="374" t="s">
        <v>102</v>
      </c>
      <c r="C7" s="373" t="s">
        <v>77</v>
      </c>
      <c r="D7" s="373"/>
      <c r="E7" s="374" t="s">
        <v>78</v>
      </c>
      <c r="F7" s="374"/>
      <c r="G7" s="374"/>
      <c r="H7" s="374"/>
      <c r="I7" s="374"/>
      <c r="J7" s="374"/>
      <c r="K7" s="374"/>
      <c r="L7" s="374"/>
      <c r="M7" s="378" t="s">
        <v>92</v>
      </c>
      <c r="N7" s="378"/>
      <c r="O7" s="378"/>
      <c r="P7" s="378"/>
      <c r="Q7" s="378"/>
      <c r="R7" s="378"/>
      <c r="S7" s="378"/>
      <c r="T7" s="378"/>
      <c r="U7" s="378"/>
      <c r="V7" s="378"/>
    </row>
    <row r="8" spans="1:22" s="32" customFormat="1" ht="96.75" customHeight="1">
      <c r="A8" s="374"/>
      <c r="B8" s="374"/>
      <c r="C8" s="373" t="s">
        <v>81</v>
      </c>
      <c r="D8" s="373"/>
      <c r="E8" s="374" t="s">
        <v>82</v>
      </c>
      <c r="F8" s="374"/>
      <c r="G8" s="374" t="s">
        <v>83</v>
      </c>
      <c r="H8" s="374"/>
      <c r="I8" s="374" t="s">
        <v>84</v>
      </c>
      <c r="J8" s="374"/>
      <c r="K8" s="374" t="s">
        <v>85</v>
      </c>
      <c r="L8" s="374"/>
      <c r="M8" s="375" t="s">
        <v>93</v>
      </c>
      <c r="N8" s="375"/>
      <c r="O8" s="375" t="s">
        <v>94</v>
      </c>
      <c r="P8" s="375"/>
      <c r="Q8" s="375" t="s">
        <v>95</v>
      </c>
      <c r="R8" s="375"/>
      <c r="S8" s="375" t="s">
        <v>96</v>
      </c>
      <c r="T8" s="375"/>
      <c r="U8" s="375" t="s">
        <v>97</v>
      </c>
      <c r="V8" s="378"/>
    </row>
    <row r="9" spans="1:22" s="36" customFormat="1" ht="30.75" customHeight="1">
      <c r="A9" s="374"/>
      <c r="B9" s="374"/>
      <c r="C9" s="33" t="s">
        <v>86</v>
      </c>
      <c r="D9" s="33" t="s">
        <v>87</v>
      </c>
      <c r="E9" s="34" t="s">
        <v>86</v>
      </c>
      <c r="F9" s="34" t="s">
        <v>87</v>
      </c>
      <c r="G9" s="34" t="s">
        <v>86</v>
      </c>
      <c r="H9" s="34" t="s">
        <v>87</v>
      </c>
      <c r="I9" s="34" t="s">
        <v>86</v>
      </c>
      <c r="J9" s="34" t="s">
        <v>87</v>
      </c>
      <c r="K9" s="34" t="s">
        <v>86</v>
      </c>
      <c r="L9" s="34" t="s">
        <v>87</v>
      </c>
      <c r="M9" s="35" t="s">
        <v>86</v>
      </c>
      <c r="N9" s="35" t="s">
        <v>87</v>
      </c>
      <c r="O9" s="35" t="s">
        <v>86</v>
      </c>
      <c r="P9" s="35" t="s">
        <v>87</v>
      </c>
      <c r="Q9" s="35" t="s">
        <v>86</v>
      </c>
      <c r="R9" s="35" t="s">
        <v>87</v>
      </c>
      <c r="S9" s="35" t="s">
        <v>86</v>
      </c>
      <c r="T9" s="35" t="s">
        <v>87</v>
      </c>
      <c r="U9" s="35" t="s">
        <v>86</v>
      </c>
      <c r="V9" s="35" t="s">
        <v>86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108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11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71" t="s">
        <v>120</v>
      </c>
      <c r="R12" s="371"/>
      <c r="S12" s="371"/>
      <c r="T12" s="371"/>
      <c r="U12" s="371"/>
      <c r="V12" s="89"/>
    </row>
    <row r="13" spans="9:21" ht="21" customHeight="1">
      <c r="I13" s="370"/>
      <c r="J13" s="370"/>
      <c r="K13" s="370"/>
      <c r="Q13" s="372" t="s">
        <v>121</v>
      </c>
      <c r="R13" s="372"/>
      <c r="S13" s="372"/>
      <c r="T13" s="372"/>
      <c r="U13" s="372"/>
    </row>
    <row r="14" spans="17:21" ht="18.75" customHeight="1">
      <c r="Q14" s="369" t="s">
        <v>106</v>
      </c>
      <c r="R14" s="369"/>
      <c r="S14" s="369"/>
      <c r="T14" s="369"/>
      <c r="U14" s="369"/>
    </row>
    <row r="15" spans="17:21" ht="21" customHeight="1">
      <c r="Q15" s="368" t="s">
        <v>122</v>
      </c>
      <c r="R15" s="368"/>
      <c r="S15" s="368"/>
      <c r="T15" s="368"/>
      <c r="U15" s="368"/>
    </row>
    <row r="16" spans="17:21" ht="20.25" customHeight="1">
      <c r="Q16" s="369" t="s">
        <v>108</v>
      </c>
      <c r="R16" s="369"/>
      <c r="S16" s="369"/>
      <c r="T16" s="369"/>
      <c r="U16" s="369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R6" sqref="R6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97"/>
      <c r="L1" s="397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91</v>
      </c>
    </row>
    <row r="2" spans="1:26" s="24" customFormat="1" ht="18.75" customHeight="1">
      <c r="A2" s="376" t="s">
        <v>123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77" t="s">
        <v>155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</row>
    <row r="5" spans="1:26" ht="18" customHeight="1">
      <c r="A5" s="27" t="s">
        <v>37</v>
      </c>
      <c r="B5" s="59"/>
      <c r="C5" s="60"/>
      <c r="D5" s="60"/>
      <c r="E5" s="60"/>
      <c r="F5" s="60"/>
      <c r="G5" s="60"/>
      <c r="H5" s="60"/>
      <c r="I5" s="60"/>
      <c r="X5" s="394"/>
      <c r="Y5" s="394"/>
      <c r="Z5" s="394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82" t="s">
        <v>76</v>
      </c>
      <c r="B7" s="389" t="s">
        <v>102</v>
      </c>
      <c r="C7" s="392" t="s">
        <v>77</v>
      </c>
      <c r="D7" s="393"/>
      <c r="E7" s="388" t="s">
        <v>78</v>
      </c>
      <c r="F7" s="388"/>
      <c r="G7" s="388"/>
      <c r="H7" s="388"/>
      <c r="I7" s="388"/>
      <c r="J7" s="388"/>
      <c r="K7" s="388"/>
      <c r="L7" s="388"/>
      <c r="M7" s="395" t="s">
        <v>92</v>
      </c>
      <c r="N7" s="396"/>
      <c r="O7" s="396"/>
      <c r="P7" s="396"/>
      <c r="Q7" s="396"/>
      <c r="R7" s="396"/>
      <c r="S7" s="396"/>
      <c r="T7" s="396"/>
      <c r="U7" s="396"/>
      <c r="V7" s="396"/>
      <c r="W7" s="381" t="s">
        <v>79</v>
      </c>
      <c r="X7" s="381"/>
      <c r="Y7" s="381" t="s">
        <v>80</v>
      </c>
      <c r="Z7" s="381"/>
    </row>
    <row r="8" spans="1:26" s="36" customFormat="1" ht="47.25" customHeight="1">
      <c r="A8" s="383"/>
      <c r="B8" s="390"/>
      <c r="C8" s="386" t="s">
        <v>81</v>
      </c>
      <c r="D8" s="387"/>
      <c r="E8" s="380" t="s">
        <v>82</v>
      </c>
      <c r="F8" s="380"/>
      <c r="G8" s="380" t="s">
        <v>83</v>
      </c>
      <c r="H8" s="380"/>
      <c r="I8" s="380" t="s">
        <v>84</v>
      </c>
      <c r="J8" s="380"/>
      <c r="K8" s="380" t="s">
        <v>85</v>
      </c>
      <c r="L8" s="380"/>
      <c r="M8" s="379" t="s">
        <v>93</v>
      </c>
      <c r="N8" s="379"/>
      <c r="O8" s="379" t="s">
        <v>94</v>
      </c>
      <c r="P8" s="379"/>
      <c r="Q8" s="379" t="s">
        <v>95</v>
      </c>
      <c r="R8" s="379"/>
      <c r="S8" s="379" t="s">
        <v>96</v>
      </c>
      <c r="T8" s="379"/>
      <c r="U8" s="379" t="s">
        <v>97</v>
      </c>
      <c r="V8" s="385"/>
      <c r="W8" s="381"/>
      <c r="X8" s="381"/>
      <c r="Y8" s="381"/>
      <c r="Z8" s="381"/>
    </row>
    <row r="9" spans="1:26" s="36" customFormat="1" ht="60.75" customHeight="1">
      <c r="A9" s="384"/>
      <c r="B9" s="391"/>
      <c r="C9" s="63" t="s">
        <v>88</v>
      </c>
      <c r="D9" s="63" t="s">
        <v>89</v>
      </c>
      <c r="E9" s="64" t="s">
        <v>88</v>
      </c>
      <c r="F9" s="64" t="s">
        <v>89</v>
      </c>
      <c r="G9" s="64" t="s">
        <v>88</v>
      </c>
      <c r="H9" s="64" t="s">
        <v>89</v>
      </c>
      <c r="I9" s="64" t="s">
        <v>88</v>
      </c>
      <c r="J9" s="64" t="s">
        <v>89</v>
      </c>
      <c r="K9" s="64" t="s">
        <v>88</v>
      </c>
      <c r="L9" s="64" t="s">
        <v>89</v>
      </c>
      <c r="M9" s="35" t="s">
        <v>88</v>
      </c>
      <c r="N9" s="35" t="s">
        <v>89</v>
      </c>
      <c r="O9" s="35" t="s">
        <v>88</v>
      </c>
      <c r="P9" s="35" t="s">
        <v>89</v>
      </c>
      <c r="Q9" s="35" t="s">
        <v>88</v>
      </c>
      <c r="R9" s="35" t="s">
        <v>89</v>
      </c>
      <c r="S9" s="35" t="s">
        <v>88</v>
      </c>
      <c r="T9" s="35" t="s">
        <v>89</v>
      </c>
      <c r="U9" s="35" t="s">
        <v>88</v>
      </c>
      <c r="V9" s="35" t="s">
        <v>89</v>
      </c>
      <c r="W9" s="34" t="s">
        <v>88</v>
      </c>
      <c r="X9" s="34" t="s">
        <v>89</v>
      </c>
      <c r="Y9" s="34" t="s">
        <v>88</v>
      </c>
      <c r="Z9" s="34" t="s">
        <v>89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108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13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120</v>
      </c>
    </row>
    <row r="18" ht="16.5">
      <c r="V18" s="49" t="s">
        <v>121</v>
      </c>
    </row>
    <row r="19" ht="21" customHeight="1">
      <c r="V19" s="49" t="s">
        <v>106</v>
      </c>
    </row>
    <row r="20" ht="24.75" customHeight="1">
      <c r="V20" s="50" t="s">
        <v>122</v>
      </c>
    </row>
    <row r="21" ht="20.25" customHeight="1">
      <c r="V21" s="49" t="s">
        <v>108</v>
      </c>
    </row>
  </sheetData>
  <sheetProtection/>
  <mergeCells count="21">
    <mergeCell ref="X5:Z5"/>
    <mergeCell ref="M7:V7"/>
    <mergeCell ref="G8:H8"/>
    <mergeCell ref="K1:L1"/>
    <mergeCell ref="K8:L8"/>
    <mergeCell ref="A2:Z2"/>
    <mergeCell ref="W7:X8"/>
    <mergeCell ref="A4:Z4"/>
    <mergeCell ref="A7:A9"/>
    <mergeCell ref="U8:V8"/>
    <mergeCell ref="O8:P8"/>
    <mergeCell ref="C8:D8"/>
    <mergeCell ref="E7:L7"/>
    <mergeCell ref="B7:B9"/>
    <mergeCell ref="C7:D7"/>
    <mergeCell ref="S8:T8"/>
    <mergeCell ref="M8:N8"/>
    <mergeCell ref="Q8:R8"/>
    <mergeCell ref="I8:J8"/>
    <mergeCell ref="E8:F8"/>
    <mergeCell ref="Y7:Z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4"/>
  <sheetViews>
    <sheetView zoomScalePageLayoutView="0" workbookViewId="0" topLeftCell="A10">
      <selection activeCell="J5" sqref="J5"/>
    </sheetView>
  </sheetViews>
  <sheetFormatPr defaultColWidth="9.140625" defaultRowHeight="15"/>
  <cols>
    <col min="1" max="1" width="4.28125" style="121" customWidth="1"/>
    <col min="2" max="2" width="17.140625" style="121" customWidth="1"/>
    <col min="3" max="3" width="9.57421875" style="122" bestFit="1" customWidth="1"/>
    <col min="4" max="4" width="8.421875" style="122" customWidth="1"/>
    <col min="5" max="5" width="16.00390625" style="122" customWidth="1"/>
    <col min="6" max="6" width="10.7109375" style="122" bestFit="1" customWidth="1"/>
    <col min="7" max="7" width="9.140625" style="122" bestFit="1" customWidth="1"/>
    <col min="8" max="8" width="20.28125" style="122" bestFit="1" customWidth="1"/>
    <col min="9" max="11" width="13.8515625" style="122" customWidth="1"/>
    <col min="12" max="12" width="9.8515625" style="153" customWidth="1"/>
    <col min="13" max="13" width="11.421875" style="118" customWidth="1"/>
    <col min="14" max="14" width="10.57421875" style="118" customWidth="1"/>
    <col min="15" max="15" width="12.57421875" style="119" customWidth="1"/>
    <col min="16" max="43" width="9.140625" style="120" customWidth="1"/>
    <col min="44" max="16384" width="9.140625" style="121" customWidth="1"/>
  </cols>
  <sheetData>
    <row r="1" spans="1:12" ht="27.75" customHeight="1">
      <c r="A1" s="401" t="s">
        <v>133</v>
      </c>
      <c r="B1" s="401"/>
      <c r="C1" s="401"/>
      <c r="D1" s="401"/>
      <c r="E1" s="401"/>
      <c r="F1" s="401"/>
      <c r="G1" s="401"/>
      <c r="H1" s="401"/>
      <c r="I1" s="116"/>
      <c r="J1" s="116"/>
      <c r="K1" s="116"/>
      <c r="L1" s="117"/>
    </row>
    <row r="2" spans="5:12" ht="15.75">
      <c r="E2" s="402" t="s">
        <v>156</v>
      </c>
      <c r="F2" s="403"/>
      <c r="G2" s="403"/>
      <c r="H2" s="403"/>
      <c r="I2" s="123"/>
      <c r="J2" s="123"/>
      <c r="K2" s="123"/>
      <c r="L2" s="123"/>
    </row>
    <row r="3" spans="1:12" ht="63" customHeight="1">
      <c r="A3" s="399" t="s">
        <v>0</v>
      </c>
      <c r="B3" s="399" t="s">
        <v>126</v>
      </c>
      <c r="C3" s="400" t="s">
        <v>127</v>
      </c>
      <c r="D3" s="400"/>
      <c r="E3" s="400" t="s">
        <v>128</v>
      </c>
      <c r="F3" s="400" t="s">
        <v>129</v>
      </c>
      <c r="G3" s="400"/>
      <c r="H3" s="400" t="s">
        <v>130</v>
      </c>
      <c r="I3" s="124"/>
      <c r="J3" s="124"/>
      <c r="K3" s="124"/>
      <c r="L3" s="124"/>
    </row>
    <row r="4" spans="1:15" ht="79.5" customHeight="1">
      <c r="A4" s="399"/>
      <c r="B4" s="399"/>
      <c r="C4" s="125" t="s">
        <v>131</v>
      </c>
      <c r="D4" s="125" t="s">
        <v>132</v>
      </c>
      <c r="E4" s="400"/>
      <c r="F4" s="125" t="s">
        <v>131</v>
      </c>
      <c r="G4" s="125" t="s">
        <v>132</v>
      </c>
      <c r="H4" s="400"/>
      <c r="I4" s="124"/>
      <c r="J4" s="124"/>
      <c r="K4" s="124"/>
      <c r="L4" s="124"/>
      <c r="O4" s="126">
        <v>0</v>
      </c>
    </row>
    <row r="5" spans="1:43" s="130" customFormat="1" ht="15">
      <c r="A5" s="127">
        <v>1</v>
      </c>
      <c r="B5" s="127">
        <v>2</v>
      </c>
      <c r="C5" s="127">
        <v>5</v>
      </c>
      <c r="D5" s="127">
        <v>6</v>
      </c>
      <c r="E5" s="127">
        <v>7</v>
      </c>
      <c r="F5" s="127">
        <v>8</v>
      </c>
      <c r="G5" s="127">
        <v>9</v>
      </c>
      <c r="H5" s="127">
        <v>10</v>
      </c>
      <c r="I5" s="128"/>
      <c r="J5" s="128"/>
      <c r="K5" s="128"/>
      <c r="L5" s="128"/>
      <c r="M5" s="129"/>
      <c r="N5" s="130" t="s">
        <v>140</v>
      </c>
      <c r="O5" s="131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</row>
    <row r="6" spans="1:44" s="141" customFormat="1" ht="18.75">
      <c r="A6" s="133">
        <v>1</v>
      </c>
      <c r="B6" s="134" t="s">
        <v>22</v>
      </c>
      <c r="C6" s="286">
        <v>5902</v>
      </c>
      <c r="D6" s="286">
        <v>0</v>
      </c>
      <c r="E6" s="287">
        <f>41.06052+20.09</f>
        <v>61.15052</v>
      </c>
      <c r="F6" s="291">
        <v>39269</v>
      </c>
      <c r="G6" s="291">
        <v>320</v>
      </c>
      <c r="H6" s="287">
        <f>427.24066+13</f>
        <v>440.24066</v>
      </c>
      <c r="I6" s="135"/>
      <c r="J6" s="135"/>
      <c r="K6" s="135"/>
      <c r="L6" s="136"/>
      <c r="M6" s="137">
        <f aca="true" t="shared" si="0" ref="M6:M20">E6+H6</f>
        <v>501.39117999999996</v>
      </c>
      <c r="N6" s="138">
        <f>'Part-II'!K10</f>
        <v>501.39</v>
      </c>
      <c r="O6" s="138">
        <f>M6-N6</f>
        <v>0.0011799999999766442</v>
      </c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40"/>
    </row>
    <row r="7" spans="1:43" s="143" customFormat="1" ht="15.75" customHeight="1">
      <c r="A7" s="133">
        <v>2</v>
      </c>
      <c r="B7" s="134" t="s">
        <v>23</v>
      </c>
      <c r="C7" s="291">
        <v>7895</v>
      </c>
      <c r="D7" s="291">
        <v>36</v>
      </c>
      <c r="E7" s="288">
        <f>10417988/100000+40.29</f>
        <v>144.46988</v>
      </c>
      <c r="F7" s="291">
        <v>26404</v>
      </c>
      <c r="G7" s="291">
        <v>45</v>
      </c>
      <c r="H7" s="288">
        <f>68232334/100000+19.87</f>
        <v>702.19334</v>
      </c>
      <c r="I7" s="142"/>
      <c r="J7" s="142"/>
      <c r="K7" s="142"/>
      <c r="L7" s="136"/>
      <c r="M7" s="137">
        <f t="shared" si="0"/>
        <v>846.66322</v>
      </c>
      <c r="N7" s="138">
        <f>'Part-II'!K11</f>
        <v>846.66</v>
      </c>
      <c r="O7" s="138">
        <f aca="true" t="shared" si="1" ref="O7:O20">M7-N7</f>
        <v>0.003220000000055734</v>
      </c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</row>
    <row r="8" spans="1:43" s="143" customFormat="1" ht="18.75">
      <c r="A8" s="133">
        <v>3</v>
      </c>
      <c r="B8" s="134" t="s">
        <v>24</v>
      </c>
      <c r="C8" s="286">
        <v>1061</v>
      </c>
      <c r="D8" s="286">
        <v>960</v>
      </c>
      <c r="E8" s="199">
        <f>609.21+60.29</f>
        <v>669.5</v>
      </c>
      <c r="F8" s="286">
        <v>8990</v>
      </c>
      <c r="G8" s="286">
        <v>4021</v>
      </c>
      <c r="H8" s="287">
        <f>671.38+20</f>
        <v>691.38</v>
      </c>
      <c r="I8" s="135"/>
      <c r="J8" s="135"/>
      <c r="K8" s="135"/>
      <c r="L8" s="136"/>
      <c r="M8" s="137">
        <f t="shared" si="0"/>
        <v>1360.88</v>
      </c>
      <c r="N8" s="138">
        <f>'Part-II'!K12</f>
        <v>1360.88</v>
      </c>
      <c r="O8" s="138">
        <f t="shared" si="1"/>
        <v>0</v>
      </c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</row>
    <row r="9" spans="1:44" s="141" customFormat="1" ht="18.75">
      <c r="A9" s="133">
        <v>4</v>
      </c>
      <c r="B9" s="134" t="s">
        <v>25</v>
      </c>
      <c r="C9" s="291">
        <v>22510</v>
      </c>
      <c r="D9" s="291">
        <v>92</v>
      </c>
      <c r="E9" s="288">
        <f>580.00517+52.12</f>
        <v>632.12517</v>
      </c>
      <c r="F9" s="291">
        <v>34116</v>
      </c>
      <c r="G9" s="291">
        <v>579</v>
      </c>
      <c r="H9" s="288">
        <f>921.14643+40</f>
        <v>961.14643</v>
      </c>
      <c r="I9" s="142"/>
      <c r="J9" s="142"/>
      <c r="K9" s="142"/>
      <c r="L9" s="136"/>
      <c r="M9" s="137">
        <f t="shared" si="0"/>
        <v>1593.2716</v>
      </c>
      <c r="N9" s="138">
        <f>'Part-II'!K13</f>
        <v>1593.27</v>
      </c>
      <c r="O9" s="138">
        <f t="shared" si="1"/>
        <v>0.0016000000000531145</v>
      </c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40"/>
    </row>
    <row r="10" spans="1:43" s="143" customFormat="1" ht="18.75">
      <c r="A10" s="133">
        <v>5</v>
      </c>
      <c r="B10" s="134" t="s">
        <v>26</v>
      </c>
      <c r="C10" s="286">
        <v>19315</v>
      </c>
      <c r="D10" s="286">
        <v>345</v>
      </c>
      <c r="E10" s="289">
        <f>404.55714+50</f>
        <v>454.55714</v>
      </c>
      <c r="F10" s="286">
        <v>36849</v>
      </c>
      <c r="G10" s="286">
        <v>3086</v>
      </c>
      <c r="H10" s="288">
        <f>797.63798+27.55</f>
        <v>825.1879799999999</v>
      </c>
      <c r="I10" s="144"/>
      <c r="J10" s="144"/>
      <c r="K10" s="144"/>
      <c r="L10" s="136"/>
      <c r="M10" s="137">
        <f t="shared" si="0"/>
        <v>1279.74512</v>
      </c>
      <c r="N10" s="138">
        <f>'Part-II'!K14</f>
        <v>1279.75</v>
      </c>
      <c r="O10" s="138">
        <f t="shared" si="1"/>
        <v>-0.004879999999957363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</row>
    <row r="11" spans="1:43" s="143" customFormat="1" ht="18.75">
      <c r="A11" s="133">
        <v>6</v>
      </c>
      <c r="B11" s="134" t="s">
        <v>27</v>
      </c>
      <c r="C11" s="291">
        <v>4791</v>
      </c>
      <c r="D11" s="291">
        <v>1607</v>
      </c>
      <c r="E11" s="288">
        <f>159.19983+64.78</f>
        <v>223.97983</v>
      </c>
      <c r="F11" s="291">
        <v>30546</v>
      </c>
      <c r="G11" s="291">
        <v>5592</v>
      </c>
      <c r="H11" s="288">
        <f>666.84303+0.04</f>
        <v>666.88303</v>
      </c>
      <c r="I11" s="142"/>
      <c r="J11" s="142"/>
      <c r="K11" s="142"/>
      <c r="L11" s="136"/>
      <c r="M11" s="137">
        <f t="shared" si="0"/>
        <v>890.86286</v>
      </c>
      <c r="N11" s="138">
        <f>'Part-II'!K15</f>
        <v>890.86</v>
      </c>
      <c r="O11" s="138">
        <f t="shared" si="1"/>
        <v>0.002859999999941465</v>
      </c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</row>
    <row r="12" spans="1:43" s="143" customFormat="1" ht="18.75">
      <c r="A12" s="133">
        <v>7</v>
      </c>
      <c r="B12" s="134" t="s">
        <v>125</v>
      </c>
      <c r="C12" s="292">
        <v>4621</v>
      </c>
      <c r="D12" s="292">
        <v>53</v>
      </c>
      <c r="E12" s="290">
        <f>55.38926+33.77</f>
        <v>89.15926</v>
      </c>
      <c r="F12" s="292">
        <v>37397</v>
      </c>
      <c r="G12" s="292">
        <v>4315</v>
      </c>
      <c r="H12" s="290">
        <v>565.89942</v>
      </c>
      <c r="I12" s="145"/>
      <c r="J12" s="145"/>
      <c r="K12" s="145"/>
      <c r="L12" s="136"/>
      <c r="M12" s="137">
        <f t="shared" si="0"/>
        <v>655.05868</v>
      </c>
      <c r="N12" s="138">
        <f>'Part-II'!K16</f>
        <v>655.056</v>
      </c>
      <c r="O12" s="138">
        <f t="shared" si="1"/>
        <v>0.002679999999941174</v>
      </c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</row>
    <row r="13" spans="1:43" s="143" customFormat="1" ht="18.75">
      <c r="A13" s="133">
        <v>8</v>
      </c>
      <c r="B13" s="134" t="s">
        <v>29</v>
      </c>
      <c r="C13" s="291">
        <v>2380</v>
      </c>
      <c r="D13" s="291">
        <v>11</v>
      </c>
      <c r="E13" s="288">
        <v>0</v>
      </c>
      <c r="F13" s="291">
        <v>32582</v>
      </c>
      <c r="G13" s="291">
        <v>1389</v>
      </c>
      <c r="H13" s="288">
        <f>593.2762+39.96</f>
        <v>633.2362</v>
      </c>
      <c r="I13" s="144"/>
      <c r="J13" s="144"/>
      <c r="K13" s="144"/>
      <c r="L13" s="136"/>
      <c r="M13" s="137">
        <f t="shared" si="0"/>
        <v>633.2362</v>
      </c>
      <c r="N13" s="138">
        <f>'Part-II'!K17</f>
        <v>633.24</v>
      </c>
      <c r="O13" s="138">
        <f t="shared" si="1"/>
        <v>-0.0037999999999556167</v>
      </c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</row>
    <row r="14" spans="1:43" s="143" customFormat="1" ht="18.75">
      <c r="A14" s="133">
        <v>9</v>
      </c>
      <c r="B14" s="134" t="s">
        <v>30</v>
      </c>
      <c r="C14" s="291">
        <v>0</v>
      </c>
      <c r="D14" s="291">
        <v>0</v>
      </c>
      <c r="E14" s="288">
        <v>0</v>
      </c>
      <c r="F14" s="291">
        <v>52395</v>
      </c>
      <c r="G14" s="291">
        <v>501</v>
      </c>
      <c r="H14" s="288">
        <f>465.8484+20.46</f>
        <v>486.3084</v>
      </c>
      <c r="I14" s="135"/>
      <c r="J14" s="135"/>
      <c r="K14" s="135"/>
      <c r="L14" s="136"/>
      <c r="M14" s="137">
        <f t="shared" si="0"/>
        <v>486.3084</v>
      </c>
      <c r="N14" s="138">
        <f>'Part-II'!K18</f>
        <v>486.31</v>
      </c>
      <c r="O14" s="138">
        <f t="shared" si="1"/>
        <v>-0.001599999999996271</v>
      </c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</row>
    <row r="15" spans="1:43" s="143" customFormat="1" ht="18.75">
      <c r="A15" s="133">
        <v>10</v>
      </c>
      <c r="B15" s="134" t="s">
        <v>31</v>
      </c>
      <c r="C15" s="291">
        <v>7679</v>
      </c>
      <c r="D15" s="286">
        <v>0</v>
      </c>
      <c r="E15" s="288">
        <f>122.13534+18.43</f>
        <v>140.56534</v>
      </c>
      <c r="F15" s="291">
        <v>48857</v>
      </c>
      <c r="G15" s="286">
        <v>0</v>
      </c>
      <c r="H15" s="288">
        <f>428.88698+20</f>
        <v>448.88698</v>
      </c>
      <c r="I15" s="142"/>
      <c r="J15" s="142"/>
      <c r="K15" s="142"/>
      <c r="L15" s="136"/>
      <c r="M15" s="137">
        <f>E15+H15</f>
        <v>589.45232</v>
      </c>
      <c r="N15" s="138">
        <f>'Part-II'!K19</f>
        <v>589.45</v>
      </c>
      <c r="O15" s="138">
        <f t="shared" si="1"/>
        <v>0.002319999999940592</v>
      </c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</row>
    <row r="16" spans="1:44" s="141" customFormat="1" ht="18.75">
      <c r="A16" s="133">
        <v>11</v>
      </c>
      <c r="B16" s="134" t="s">
        <v>32</v>
      </c>
      <c r="C16" s="291">
        <v>3061</v>
      </c>
      <c r="D16" s="291">
        <v>0</v>
      </c>
      <c r="E16" s="288">
        <v>50.32183</v>
      </c>
      <c r="F16" s="291">
        <v>28403</v>
      </c>
      <c r="G16" s="291">
        <v>0</v>
      </c>
      <c r="H16" s="288">
        <f>329.97884+22.15</f>
        <v>352.12883999999997</v>
      </c>
      <c r="I16" s="144"/>
      <c r="J16" s="144"/>
      <c r="K16" s="144"/>
      <c r="L16" s="136"/>
      <c r="M16" s="137">
        <f t="shared" si="0"/>
        <v>402.45066999999995</v>
      </c>
      <c r="N16" s="138">
        <f>'Part-II'!K20</f>
        <v>402.455</v>
      </c>
      <c r="O16" s="138">
        <f t="shared" si="1"/>
        <v>-0.004330000000038581</v>
      </c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40"/>
    </row>
    <row r="17" spans="1:43" s="143" customFormat="1" ht="18.75">
      <c r="A17" s="133">
        <v>12</v>
      </c>
      <c r="B17" s="134" t="s">
        <v>33</v>
      </c>
      <c r="C17" s="291">
        <v>2906</v>
      </c>
      <c r="D17" s="291">
        <v>0</v>
      </c>
      <c r="E17" s="293">
        <v>13.567879999999999</v>
      </c>
      <c r="F17" s="291">
        <v>45782</v>
      </c>
      <c r="G17" s="291">
        <v>4733</v>
      </c>
      <c r="H17" s="288">
        <f>264.17381-24.23</f>
        <v>239.94381</v>
      </c>
      <c r="I17" s="135"/>
      <c r="J17" s="135"/>
      <c r="K17" s="135"/>
      <c r="L17" s="136"/>
      <c r="M17" s="137">
        <f t="shared" si="0"/>
        <v>253.51169000000002</v>
      </c>
      <c r="N17" s="138">
        <f>'Part-II'!K21</f>
        <v>253.51</v>
      </c>
      <c r="O17" s="138">
        <f t="shared" si="1"/>
        <v>0.0016900000000248383</v>
      </c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</row>
    <row r="18" spans="1:43" s="143" customFormat="1" ht="18.75">
      <c r="A18" s="133">
        <v>13</v>
      </c>
      <c r="B18" s="134" t="s">
        <v>34</v>
      </c>
      <c r="C18" s="286">
        <v>2796</v>
      </c>
      <c r="D18" s="286">
        <v>0</v>
      </c>
      <c r="E18" s="288">
        <f>59.79597+20.4</f>
        <v>80.19596999999999</v>
      </c>
      <c r="F18" s="286">
        <v>37143</v>
      </c>
      <c r="G18" s="286">
        <v>0</v>
      </c>
      <c r="H18" s="288">
        <f>735.07703+30</f>
        <v>765.07703</v>
      </c>
      <c r="I18" s="144"/>
      <c r="J18" s="144"/>
      <c r="K18" s="144"/>
      <c r="L18" s="136"/>
      <c r="M18" s="137">
        <f t="shared" si="0"/>
        <v>845.273</v>
      </c>
      <c r="N18" s="138">
        <f>'Part-II'!K22</f>
        <v>845.27</v>
      </c>
      <c r="O18" s="138">
        <f t="shared" si="1"/>
        <v>0.0030000000000427463</v>
      </c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</row>
    <row r="19" spans="1:43" s="143" customFormat="1" ht="18.75">
      <c r="A19" s="133"/>
      <c r="B19" s="134" t="s">
        <v>144</v>
      </c>
      <c r="C19" s="286"/>
      <c r="D19" s="286"/>
      <c r="E19" s="288">
        <f>45.258+7</f>
        <v>52.258</v>
      </c>
      <c r="F19" s="286"/>
      <c r="G19" s="286"/>
      <c r="H19" s="288">
        <f>105.602+0.69</f>
        <v>106.292</v>
      </c>
      <c r="I19" s="144"/>
      <c r="J19" s="144"/>
      <c r="K19" s="144"/>
      <c r="L19" s="136"/>
      <c r="M19" s="137">
        <f t="shared" si="0"/>
        <v>158.55</v>
      </c>
      <c r="N19" s="138">
        <f>'Part-II'!K24</f>
        <v>158.55</v>
      </c>
      <c r="O19" s="138">
        <f t="shared" si="1"/>
        <v>0</v>
      </c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</row>
    <row r="20" spans="1:43" s="151" customFormat="1" ht="12.75" customHeight="1">
      <c r="A20" s="398" t="s">
        <v>5</v>
      </c>
      <c r="B20" s="398"/>
      <c r="C20" s="147">
        <f>SUM(C6:C18)</f>
        <v>84917</v>
      </c>
      <c r="D20" s="147">
        <f>SUM(D6:D18)</f>
        <v>3104</v>
      </c>
      <c r="E20" s="148">
        <f>SUM(E6:E19)</f>
        <v>2611.8508199999997</v>
      </c>
      <c r="F20" s="147">
        <f>SUM(F6:F18)</f>
        <v>458733</v>
      </c>
      <c r="G20" s="147">
        <f>SUM(G6:G18)</f>
        <v>24581</v>
      </c>
      <c r="H20" s="148">
        <f>SUM(H6:H19)</f>
        <v>7884.804120000001</v>
      </c>
      <c r="I20" s="149"/>
      <c r="J20" s="149"/>
      <c r="K20" s="149"/>
      <c r="L20" s="149"/>
      <c r="M20" s="137">
        <f t="shared" si="0"/>
        <v>10496.65494</v>
      </c>
      <c r="N20" s="146">
        <f>SUM(N6:N19)</f>
        <v>10496.651</v>
      </c>
      <c r="O20" s="138">
        <f t="shared" si="1"/>
        <v>0.003940000000511645</v>
      </c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</row>
    <row r="21" ht="15">
      <c r="L21" s="120"/>
    </row>
    <row r="22" spans="3:11" ht="17.25" customHeight="1">
      <c r="C22" s="152"/>
      <c r="D22" s="152"/>
      <c r="E22" s="152"/>
      <c r="F22" s="152"/>
      <c r="G22" s="152"/>
      <c r="H22" s="152"/>
      <c r="I22" s="152"/>
      <c r="J22" s="152"/>
      <c r="K22" s="152"/>
    </row>
    <row r="24" ht="15">
      <c r="M24" s="214"/>
    </row>
  </sheetData>
  <sheetProtection/>
  <mergeCells count="9"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2012-12-06T19:42:26Z</cp:lastPrinted>
  <dcterms:created xsi:type="dcterms:W3CDTF">2008-06-03T10:00:46Z</dcterms:created>
  <dcterms:modified xsi:type="dcterms:W3CDTF">2013-02-18T21:14:41Z</dcterms:modified>
  <cp:category/>
  <cp:version/>
  <cp:contentType/>
  <cp:contentStatus/>
</cp:coreProperties>
</file>